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restricted/CAWP/Info Services/Voter Page Revamp /Gender Gap/"/>
    </mc:Choice>
  </mc:AlternateContent>
  <xr:revisionPtr revIDLastSave="0" documentId="13_ncr:1_{80F9B921-3A18-D949-9BDD-2DC2CBDF291B}" xr6:coauthVersionLast="46" xr6:coauthVersionMax="46" xr10:uidLastSave="{00000000-0000-0000-0000-000000000000}"/>
  <bookViews>
    <workbookView xWindow="-38400" yWindow="460" windowWidth="26080" windowHeight="15260" activeTab="5" xr2:uid="{7458AE73-DBFE-A740-9839-D4BC7E7F611F}"/>
  </bookViews>
  <sheets>
    <sheet name="2020" sheetId="3" r:id="rId1"/>
    <sheet name="2016" sheetId="5" r:id="rId2"/>
    <sheet name="2012" sheetId="1" r:id="rId3"/>
    <sheet name="2008" sheetId="2" r:id="rId4"/>
    <sheet name="2004" sheetId="4" r:id="rId5"/>
    <sheet name="2000" sheetId="6" r:id="rId6"/>
    <sheet name="1996" sheetId="7" r:id="rId7"/>
    <sheet name="1992" sheetId="8" r:id="rId8"/>
    <sheet name="1988" sheetId="9" r:id="rId9"/>
    <sheet name="1984" sheetId="10" r:id="rId10"/>
    <sheet name="1980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6" l="1"/>
  <c r="E11" i="6"/>
  <c r="D11" i="6"/>
  <c r="C11" i="6"/>
  <c r="F11" i="7"/>
  <c r="E11" i="7"/>
  <c r="D11" i="7"/>
  <c r="C11" i="7"/>
  <c r="E8" i="8"/>
  <c r="C2" i="8"/>
  <c r="F2" i="9"/>
  <c r="E2" i="9"/>
  <c r="D2" i="9"/>
  <c r="C2" i="9"/>
  <c r="F8" i="8"/>
  <c r="D8" i="8"/>
  <c r="C8" i="8"/>
  <c r="F5" i="8"/>
  <c r="E5" i="8"/>
  <c r="D5" i="8"/>
  <c r="C5" i="8"/>
  <c r="F2" i="8"/>
  <c r="E2" i="8"/>
  <c r="D2" i="8"/>
  <c r="F2" i="7"/>
  <c r="F8" i="7"/>
  <c r="E8" i="7"/>
  <c r="D8" i="7"/>
  <c r="C8" i="7"/>
  <c r="F5" i="7"/>
  <c r="E5" i="7"/>
  <c r="D5" i="7"/>
  <c r="C5" i="7"/>
  <c r="E2" i="7"/>
  <c r="D2" i="7"/>
  <c r="C2" i="7"/>
  <c r="F8" i="6"/>
  <c r="E8" i="6"/>
  <c r="D8" i="6"/>
  <c r="C8" i="6"/>
  <c r="F5" i="6"/>
  <c r="E5" i="6"/>
  <c r="D5" i="6"/>
  <c r="C5" i="6"/>
  <c r="F2" i="6"/>
  <c r="E2" i="6"/>
  <c r="D2" i="6"/>
  <c r="C2" i="6"/>
  <c r="F34" i="5"/>
  <c r="E34" i="5"/>
  <c r="D34" i="5"/>
  <c r="C34" i="5"/>
  <c r="F31" i="5"/>
  <c r="E31" i="5"/>
  <c r="D31" i="5"/>
  <c r="C31" i="5"/>
  <c r="F28" i="5"/>
  <c r="E28" i="5"/>
  <c r="D28" i="5"/>
  <c r="C28" i="5"/>
  <c r="F25" i="5"/>
  <c r="E25" i="5"/>
  <c r="D25" i="5"/>
  <c r="C25" i="5"/>
  <c r="J14" i="4"/>
  <c r="I14" i="4"/>
  <c r="H14" i="4"/>
  <c r="G14" i="4"/>
  <c r="F14" i="4"/>
  <c r="E14" i="4"/>
  <c r="D14" i="4"/>
  <c r="C14" i="4"/>
  <c r="F11" i="4"/>
  <c r="E11" i="4"/>
  <c r="D11" i="4"/>
  <c r="C11" i="4"/>
  <c r="F8" i="4"/>
  <c r="E8" i="4"/>
  <c r="D8" i="4"/>
  <c r="C8" i="4"/>
  <c r="F5" i="4"/>
  <c r="E5" i="4"/>
  <c r="D5" i="4"/>
  <c r="C5" i="4"/>
  <c r="F2" i="4"/>
  <c r="E2" i="4"/>
  <c r="D2" i="4"/>
  <c r="C2" i="4"/>
  <c r="F26" i="2"/>
  <c r="E26" i="2"/>
  <c r="D26" i="2"/>
  <c r="C26" i="2"/>
  <c r="F23" i="2"/>
  <c r="E23" i="2"/>
  <c r="D23" i="2"/>
  <c r="C23" i="2"/>
  <c r="F20" i="2"/>
  <c r="E20" i="2"/>
  <c r="D20" i="2"/>
  <c r="C20" i="2"/>
  <c r="F17" i="2"/>
  <c r="E17" i="2"/>
  <c r="D17" i="2"/>
  <c r="C17" i="2"/>
  <c r="J14" i="2"/>
  <c r="I14" i="2"/>
  <c r="H14" i="2"/>
  <c r="G14" i="2"/>
  <c r="F14" i="2"/>
  <c r="E14" i="2"/>
  <c r="D14" i="2"/>
  <c r="C14" i="2"/>
  <c r="C11" i="2"/>
  <c r="E11" i="2"/>
  <c r="F11" i="2"/>
  <c r="D11" i="2"/>
  <c r="F8" i="2"/>
  <c r="E8" i="2"/>
  <c r="D8" i="2"/>
  <c r="C8" i="2"/>
  <c r="E5" i="2"/>
  <c r="F5" i="2"/>
  <c r="D5" i="2"/>
  <c r="C5" i="2"/>
  <c r="F2" i="2"/>
  <c r="E2" i="2"/>
  <c r="D2" i="2"/>
  <c r="C2" i="2"/>
  <c r="E26" i="1"/>
  <c r="F26" i="1"/>
  <c r="D26" i="1"/>
  <c r="C26" i="1"/>
  <c r="F23" i="1"/>
  <c r="E23" i="1"/>
  <c r="D23" i="1"/>
  <c r="C23" i="1"/>
  <c r="E20" i="1"/>
  <c r="F20" i="1"/>
  <c r="C20" i="1"/>
  <c r="D20" i="1"/>
  <c r="E17" i="1"/>
  <c r="F17" i="1"/>
  <c r="D17" i="1"/>
  <c r="C17" i="1"/>
  <c r="J14" i="1"/>
  <c r="I14" i="1"/>
  <c r="H14" i="1"/>
  <c r="G14" i="1"/>
  <c r="F14" i="1"/>
  <c r="E14" i="1"/>
  <c r="C14" i="1"/>
  <c r="D14" i="1"/>
  <c r="F11" i="1"/>
  <c r="E11" i="1"/>
  <c r="D11" i="1"/>
  <c r="C11" i="1"/>
  <c r="E8" i="1"/>
  <c r="F8" i="1"/>
  <c r="C8" i="1"/>
  <c r="D8" i="1"/>
</calcChain>
</file>

<file path=xl/sharedStrings.xml><?xml version="1.0" encoding="utf-8"?>
<sst xmlns="http://schemas.openxmlformats.org/spreadsheetml/2006/main" count="486" uniqueCount="233">
  <si>
    <t>Year</t>
  </si>
  <si>
    <t>Survey</t>
  </si>
  <si>
    <t>Edison</t>
  </si>
  <si>
    <t>Men-Romney</t>
  </si>
  <si>
    <t>Men-Obama</t>
  </si>
  <si>
    <t>Women-Romney</t>
  </si>
  <si>
    <t>Women-Obama</t>
  </si>
  <si>
    <t>White Men-Romney</t>
  </si>
  <si>
    <t>White Women-Obama</t>
  </si>
  <si>
    <t>White Women-Romney</t>
  </si>
  <si>
    <t>White Men-Obama</t>
  </si>
  <si>
    <t>Black Men-Romney</t>
  </si>
  <si>
    <t>Black Men-Obama</t>
  </si>
  <si>
    <t>Black Women-Romney</t>
  </si>
  <si>
    <t>Black Women-Obama</t>
  </si>
  <si>
    <t>Latinx Men-Romney</t>
  </si>
  <si>
    <t>Latinx Men-Obama</t>
  </si>
  <si>
    <t>Latinx Women-Romney</t>
  </si>
  <si>
    <t>Latinx Women-Obama</t>
  </si>
  <si>
    <t xml:space="preserve">Edison </t>
  </si>
  <si>
    <t xml:space="preserve">Year </t>
  </si>
  <si>
    <t xml:space="preserve">Married Men-Obama </t>
  </si>
  <si>
    <t>Married Women-Obama</t>
  </si>
  <si>
    <t>Married Women-Romney</t>
  </si>
  <si>
    <t>Married Men-Romney</t>
  </si>
  <si>
    <t>Non-Married Men-Romney</t>
  </si>
  <si>
    <t>Non-Married Men-Obama</t>
  </si>
  <si>
    <t>Non-Married Women-Romney</t>
  </si>
  <si>
    <t>Non-Married Women-Obama</t>
  </si>
  <si>
    <t>Men 18-29-Romney</t>
  </si>
  <si>
    <t>Men 18-29-Obama</t>
  </si>
  <si>
    <t>Women 18-29-Romney</t>
  </si>
  <si>
    <t xml:space="preserve">Women 18-29-Obama </t>
  </si>
  <si>
    <t>Men 30-44-Romney</t>
  </si>
  <si>
    <t>Men 30-44-Obama</t>
  </si>
  <si>
    <t>Women 30-44-Romney</t>
  </si>
  <si>
    <t>Women 30-44-Obama</t>
  </si>
  <si>
    <t>Men 45-65-Romney</t>
  </si>
  <si>
    <t>Men 45-65-Obama</t>
  </si>
  <si>
    <t>Women 45-65-Romney</t>
  </si>
  <si>
    <t>Women 45-65-Obama</t>
  </si>
  <si>
    <t>Men 65+-Romney</t>
  </si>
  <si>
    <t>Men65+-Obama</t>
  </si>
  <si>
    <t>Women 65+-Romney</t>
  </si>
  <si>
    <t>Women 65+-Obama</t>
  </si>
  <si>
    <t>Men (Trump)</t>
  </si>
  <si>
    <t>Men (Biden)</t>
  </si>
  <si>
    <t>Women (Trump)</t>
  </si>
  <si>
    <t xml:space="preserve">Women (Biden) </t>
  </si>
  <si>
    <t>VoteCast</t>
  </si>
  <si>
    <t>CES</t>
  </si>
  <si>
    <t>White Men (Trump)</t>
  </si>
  <si>
    <t>White Men (Biden)</t>
  </si>
  <si>
    <t>White Women (Trump)</t>
  </si>
  <si>
    <t xml:space="preserve">White Women (Biden) </t>
  </si>
  <si>
    <t>Latino Decisions</t>
  </si>
  <si>
    <t>Black Men (Trump)</t>
  </si>
  <si>
    <t>Black Men (Biden)</t>
  </si>
  <si>
    <t>Black Women (Trump)</t>
  </si>
  <si>
    <t xml:space="preserve">Black Women (Biden) </t>
  </si>
  <si>
    <t>Latinx Men (Biden)</t>
  </si>
  <si>
    <t>Latinx Women (Trump)</t>
  </si>
  <si>
    <t>Latinx Women (Biden)</t>
  </si>
  <si>
    <t>Asian Men (Biden)</t>
  </si>
  <si>
    <t>Asian Women (Trump)</t>
  </si>
  <si>
    <t>Asian Women (Biden)</t>
  </si>
  <si>
    <t>Latinx Men (Trump)</t>
  </si>
  <si>
    <t>Asian Men (Trump)</t>
  </si>
  <si>
    <t>Married Men (Trump)</t>
  </si>
  <si>
    <t>Married Men (Biden)</t>
  </si>
  <si>
    <t>Married Women (Trump)</t>
  </si>
  <si>
    <t>Married Women (Biden)</t>
  </si>
  <si>
    <t>Unmarried Men (Trump)</t>
  </si>
  <si>
    <t>Unmarried Men (Biden)</t>
  </si>
  <si>
    <t>Unmarried Women (Trump)</t>
  </si>
  <si>
    <t>Unmarried Women (Biden)</t>
  </si>
  <si>
    <t>18-29 Men (Trump)</t>
  </si>
  <si>
    <t>18-29 Men (Biden)</t>
  </si>
  <si>
    <t>18-29 Women (Trump)</t>
  </si>
  <si>
    <t>18-29 Women (Biden)</t>
  </si>
  <si>
    <t>30-44 Men (Trump)</t>
  </si>
  <si>
    <t>30-44 Men (Biden)</t>
  </si>
  <si>
    <t>30-44 Women (Trump)</t>
  </si>
  <si>
    <t>30-44 Women (Biden)</t>
  </si>
  <si>
    <t>45-64 Men (Trump)</t>
  </si>
  <si>
    <t>45-64 Men (Biden)</t>
  </si>
  <si>
    <t>45-64 Women (Trump)</t>
  </si>
  <si>
    <t>45-64 Women (Biden)</t>
  </si>
  <si>
    <t>65+ Men (Trump)</t>
  </si>
  <si>
    <t>65+ Men (Biden)</t>
  </si>
  <si>
    <t>65+ Women (Trump)</t>
  </si>
  <si>
    <t>65+ Women (Biden)</t>
  </si>
  <si>
    <t>College Evangelical Men (Biden)</t>
  </si>
  <si>
    <t>College Evangelical Men (Trump)</t>
  </si>
  <si>
    <t>College Evangelical Women (Trump)</t>
  </si>
  <si>
    <t>College Evangelical Women (Biden)</t>
  </si>
  <si>
    <t>No College Evangelical Men (Trump)</t>
  </si>
  <si>
    <t>No College Evangelical Men (Biden)</t>
  </si>
  <si>
    <t>No College Evangelical Women (Trump)</t>
  </si>
  <si>
    <t>No College Evangelical Women (Biden)</t>
  </si>
  <si>
    <t>Evangelical Men (Trump)</t>
  </si>
  <si>
    <t>Evangelical Men (Biden)</t>
  </si>
  <si>
    <t>Evangelical Women (Trump)</t>
  </si>
  <si>
    <t>Evangelical Women (Biden)</t>
  </si>
  <si>
    <t>Urban Men (Trump)</t>
  </si>
  <si>
    <t>Urban Men (Biden)</t>
  </si>
  <si>
    <t>Urban Women (Trump)</t>
  </si>
  <si>
    <t>Urban Women (Biden)</t>
  </si>
  <si>
    <t>Suburban Men (Trump)</t>
  </si>
  <si>
    <t>Suburban Men (Biden)</t>
  </si>
  <si>
    <t>Suburban Women (Trump)</t>
  </si>
  <si>
    <t>Suburban Women (Biden)</t>
  </si>
  <si>
    <t>Rural Men (Trump)</t>
  </si>
  <si>
    <t>Rural Men (Biden)</t>
  </si>
  <si>
    <t>Rural Women (Trump)</t>
  </si>
  <si>
    <t>Rural Women (Biden)</t>
  </si>
  <si>
    <t>Men-McCain</t>
  </si>
  <si>
    <t>Women-McCain</t>
  </si>
  <si>
    <t>White Men-McCain</t>
  </si>
  <si>
    <t>Black Men-McCain</t>
  </si>
  <si>
    <t>Latinx Men-McCain</t>
  </si>
  <si>
    <t>White Women-McCain</t>
  </si>
  <si>
    <t>Black Women-McCain</t>
  </si>
  <si>
    <t>Latinx Women-McCain</t>
  </si>
  <si>
    <t>Married Men-McCain</t>
  </si>
  <si>
    <t>Men 18-29-McCain</t>
  </si>
  <si>
    <t>Men 30-44-McCain</t>
  </si>
  <si>
    <t>Men 45-65-McCain</t>
  </si>
  <si>
    <t>Men 65+-McCain</t>
  </si>
  <si>
    <t>Married Women-McCain</t>
  </si>
  <si>
    <t>Women 18-29-McCain</t>
  </si>
  <si>
    <t>Women 30-44-McCain</t>
  </si>
  <si>
    <t>Women 45-65-McCain</t>
  </si>
  <si>
    <t>Women 65+-McCain</t>
  </si>
  <si>
    <t>Non-Married Men-McCain</t>
  </si>
  <si>
    <t>Non-Married Women-McCain</t>
  </si>
  <si>
    <t>Men-Bush</t>
  </si>
  <si>
    <t>Women-Kerry</t>
  </si>
  <si>
    <t>Men-Kerry</t>
  </si>
  <si>
    <t>Women-Bush</t>
  </si>
  <si>
    <t>White Men-Bush</t>
  </si>
  <si>
    <t>White Women-Bush</t>
  </si>
  <si>
    <t>White Men-Kerry</t>
  </si>
  <si>
    <t>White Women-Kerry</t>
  </si>
  <si>
    <t>Black Men-Bush</t>
  </si>
  <si>
    <t>Black Men-Kerry</t>
  </si>
  <si>
    <t>Black Women-Bush</t>
  </si>
  <si>
    <t>Black Women-Kerry</t>
  </si>
  <si>
    <t>Hispanic Men-Bush</t>
  </si>
  <si>
    <t>Hispanic Women-Bush</t>
  </si>
  <si>
    <t>Hispanic Women-Kerry</t>
  </si>
  <si>
    <t>Hispanic Men-Kerry</t>
  </si>
  <si>
    <t>Married Men-Bush</t>
  </si>
  <si>
    <t>Married Men-Kerry</t>
  </si>
  <si>
    <t>Married Women-Bush</t>
  </si>
  <si>
    <t>Married Women-Kerry</t>
  </si>
  <si>
    <t>Non-Married Men-Bush</t>
  </si>
  <si>
    <t>Non-Married Men-Kerry</t>
  </si>
  <si>
    <t>Non-Married Women-Bush</t>
  </si>
  <si>
    <t>Non-Married Women-Kerry</t>
  </si>
  <si>
    <t>Men-Trump</t>
  </si>
  <si>
    <t>Men-Clinton</t>
  </si>
  <si>
    <t>Women-Trump</t>
  </si>
  <si>
    <t>Women-Clinton</t>
  </si>
  <si>
    <t>Black Men-Trump</t>
  </si>
  <si>
    <t>White Men-Trump</t>
  </si>
  <si>
    <t>White Women-Trump</t>
  </si>
  <si>
    <t>Black Women-Trump</t>
  </si>
  <si>
    <t>Latinx Men-Trump</t>
  </si>
  <si>
    <t>Latinx Women-Trump</t>
  </si>
  <si>
    <t>Married Men-Trump</t>
  </si>
  <si>
    <t>Married Women-Trump</t>
  </si>
  <si>
    <t>Non-Married Men-Trump</t>
  </si>
  <si>
    <t>Non-Married Women-Trump</t>
  </si>
  <si>
    <t>Men 18-29-Trump</t>
  </si>
  <si>
    <t>Women 18-29-Trump</t>
  </si>
  <si>
    <t>Men 30-44-Trump</t>
  </si>
  <si>
    <t>Women 30-44-Trump</t>
  </si>
  <si>
    <t>Men 45-65-Trump</t>
  </si>
  <si>
    <t>Women 45-65-Trump</t>
  </si>
  <si>
    <t>Men 65+-Trump</t>
  </si>
  <si>
    <t>Women 65+-Trump</t>
  </si>
  <si>
    <t>White Men-Clinton</t>
  </si>
  <si>
    <t>White Women-Clinton</t>
  </si>
  <si>
    <t>Black Men-Clinton</t>
  </si>
  <si>
    <t>Black Women-Clinton</t>
  </si>
  <si>
    <t>Latinx Men-Clinton</t>
  </si>
  <si>
    <t>Latinx Women-Clinton</t>
  </si>
  <si>
    <t xml:space="preserve">Married Men-Clinton </t>
  </si>
  <si>
    <t>Married Women-Clinton</t>
  </si>
  <si>
    <t>Non-Married Men-Clinton</t>
  </si>
  <si>
    <t>Non-Married Women-Clinton</t>
  </si>
  <si>
    <t>Men 18-29-Clinton</t>
  </si>
  <si>
    <t xml:space="preserve">Women 18-29-Clinton </t>
  </si>
  <si>
    <t>Men 30-44-Clinton</t>
  </si>
  <si>
    <t>Women 30-44-Clinton</t>
  </si>
  <si>
    <t>Men 45-65-Clinton</t>
  </si>
  <si>
    <t>Women 45-65-Clinton</t>
  </si>
  <si>
    <t>Men65+-Clinton</t>
  </si>
  <si>
    <t>Women 65+-Clinton</t>
  </si>
  <si>
    <t>Asian Men-Trump</t>
  </si>
  <si>
    <t>Asian Men-Clinton</t>
  </si>
  <si>
    <t>Asian Women-Trump</t>
  </si>
  <si>
    <t>Asian Women-Clinton</t>
  </si>
  <si>
    <t>Men-Gore</t>
  </si>
  <si>
    <t>Women-Gore</t>
  </si>
  <si>
    <t>White Men-Gore</t>
  </si>
  <si>
    <t>White Women-Gore</t>
  </si>
  <si>
    <t>Black Men-Gore</t>
  </si>
  <si>
    <t>Black Women-Gore</t>
  </si>
  <si>
    <t>Voter News Service</t>
  </si>
  <si>
    <t>Men-Dole</t>
  </si>
  <si>
    <t>Women-Dole</t>
  </si>
  <si>
    <t>White Men-Dole</t>
  </si>
  <si>
    <t>White Women-Dole</t>
  </si>
  <si>
    <t>Black Men-Dole</t>
  </si>
  <si>
    <t>Black Women-Dole</t>
  </si>
  <si>
    <t>CBS News/NYT</t>
  </si>
  <si>
    <t>Men-Dukakis</t>
  </si>
  <si>
    <t xml:space="preserve">Women-Dukakis </t>
  </si>
  <si>
    <t>Men-Reagan</t>
  </si>
  <si>
    <t>Men-Mondale</t>
  </si>
  <si>
    <t>Women-Reagan</t>
  </si>
  <si>
    <t>Women-Mondale</t>
  </si>
  <si>
    <t>Women-Carter</t>
  </si>
  <si>
    <t>Men-Carter</t>
  </si>
  <si>
    <t>Hispanic Men-Dole</t>
  </si>
  <si>
    <t>Hispanic Men-Clinton</t>
  </si>
  <si>
    <t>Hispanic Women-Dole</t>
  </si>
  <si>
    <t>Hispanic Women-Clinton</t>
  </si>
  <si>
    <t>Hispanic Men-Gore</t>
  </si>
  <si>
    <t>Hispanic Women-Gore</t>
  </si>
  <si>
    <t xml:space="preserve">*Note that the women Obama number on our fact sheet is 56% as this was the number publicy reported by Edison. The number here reflects our weighted average calculation.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</si>
</sst>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name val="Calibri (Body)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ill="1"/>
    <xf numFmtId="0" fontId="1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A11F9-A487-AB4D-8067-735710D6084F}">
  <dimension ref="A1:F66"/>
  <sheetViews>
    <sheetView zoomScale="112" zoomScaleNormal="112" workbookViewId="0">
      <selection activeCell="C17" sqref="C17"/>
    </sheetView>
  </sheetViews>
  <sheetFormatPr baseColWidth="10" defaultRowHeight="16" x14ac:dyDescent="0.2"/>
  <cols>
    <col min="2" max="2" width="13.83203125" customWidth="1"/>
    <col min="3" max="3" width="22" customWidth="1"/>
    <col min="4" max="4" width="23.1640625" customWidth="1"/>
    <col min="5" max="5" width="26.1640625" customWidth="1"/>
    <col min="6" max="6" width="25.1640625" customWidth="1"/>
  </cols>
  <sheetData>
    <row r="1" spans="1:6" s="1" customFormat="1" x14ac:dyDescent="0.2">
      <c r="A1" s="1" t="s">
        <v>0</v>
      </c>
      <c r="B1" s="1" t="s">
        <v>1</v>
      </c>
      <c r="C1" s="1" t="s">
        <v>45</v>
      </c>
      <c r="D1" s="1" t="s">
        <v>46</v>
      </c>
      <c r="E1" s="1" t="s">
        <v>47</v>
      </c>
      <c r="F1" s="1" t="s">
        <v>48</v>
      </c>
    </row>
    <row r="2" spans="1:6" x14ac:dyDescent="0.2">
      <c r="A2">
        <v>2020</v>
      </c>
      <c r="B2" t="s">
        <v>2</v>
      </c>
      <c r="C2">
        <v>53</v>
      </c>
      <c r="D2">
        <v>45</v>
      </c>
      <c r="E2">
        <v>42</v>
      </c>
      <c r="F2">
        <v>57</v>
      </c>
    </row>
    <row r="3" spans="1:6" x14ac:dyDescent="0.2">
      <c r="A3">
        <v>2020</v>
      </c>
      <c r="B3" t="s">
        <v>49</v>
      </c>
      <c r="C3">
        <v>52</v>
      </c>
      <c r="D3">
        <v>46</v>
      </c>
      <c r="E3">
        <v>44</v>
      </c>
      <c r="F3">
        <v>55</v>
      </c>
    </row>
    <row r="4" spans="1:6" x14ac:dyDescent="0.2">
      <c r="A4">
        <v>2020</v>
      </c>
      <c r="B4" t="s">
        <v>50</v>
      </c>
      <c r="C4">
        <v>48</v>
      </c>
      <c r="D4">
        <v>47</v>
      </c>
      <c r="E4">
        <v>39</v>
      </c>
      <c r="F4">
        <v>55</v>
      </c>
    </row>
    <row r="6" spans="1:6" s="1" customFormat="1" x14ac:dyDescent="0.2">
      <c r="A6" s="1" t="s">
        <v>0</v>
      </c>
      <c r="B6" s="1" t="s">
        <v>1</v>
      </c>
      <c r="C6" s="1" t="s">
        <v>51</v>
      </c>
      <c r="D6" s="1" t="s">
        <v>52</v>
      </c>
      <c r="E6" s="1" t="s">
        <v>53</v>
      </c>
      <c r="F6" s="1" t="s">
        <v>54</v>
      </c>
    </row>
    <row r="7" spans="1:6" x14ac:dyDescent="0.2">
      <c r="A7">
        <v>2020</v>
      </c>
      <c r="B7" t="s">
        <v>2</v>
      </c>
      <c r="C7">
        <v>61</v>
      </c>
      <c r="D7">
        <v>38</v>
      </c>
      <c r="E7">
        <v>55</v>
      </c>
      <c r="F7">
        <v>44</v>
      </c>
    </row>
    <row r="8" spans="1:6" x14ac:dyDescent="0.2">
      <c r="A8">
        <v>2020</v>
      </c>
      <c r="B8" t="s">
        <v>49</v>
      </c>
      <c r="C8">
        <v>59</v>
      </c>
      <c r="D8">
        <v>39</v>
      </c>
      <c r="E8">
        <v>52</v>
      </c>
      <c r="F8">
        <v>46</v>
      </c>
    </row>
    <row r="9" spans="1:6" x14ac:dyDescent="0.2">
      <c r="A9">
        <v>2020</v>
      </c>
      <c r="B9" t="s">
        <v>50</v>
      </c>
      <c r="C9">
        <v>52</v>
      </c>
      <c r="D9">
        <v>42</v>
      </c>
      <c r="E9">
        <v>46</v>
      </c>
      <c r="F9">
        <v>48</v>
      </c>
    </row>
    <row r="10" spans="1:6" x14ac:dyDescent="0.2">
      <c r="A10">
        <v>2020</v>
      </c>
      <c r="B10" t="s">
        <v>55</v>
      </c>
      <c r="C10">
        <v>59</v>
      </c>
      <c r="D10">
        <v>38</v>
      </c>
      <c r="E10">
        <v>53</v>
      </c>
      <c r="F10">
        <v>45</v>
      </c>
    </row>
    <row r="12" spans="1:6" s="1" customFormat="1" x14ac:dyDescent="0.2">
      <c r="A12" s="1" t="s">
        <v>0</v>
      </c>
      <c r="B12" s="1" t="s">
        <v>1</v>
      </c>
      <c r="C12" s="1" t="s">
        <v>56</v>
      </c>
      <c r="D12" s="1" t="s">
        <v>57</v>
      </c>
      <c r="E12" s="1" t="s">
        <v>58</v>
      </c>
      <c r="F12" s="1" t="s">
        <v>59</v>
      </c>
    </row>
    <row r="13" spans="1:6" x14ac:dyDescent="0.2">
      <c r="A13">
        <v>2020</v>
      </c>
      <c r="B13" t="s">
        <v>2</v>
      </c>
      <c r="C13">
        <v>19</v>
      </c>
      <c r="D13">
        <v>79</v>
      </c>
      <c r="E13">
        <v>9</v>
      </c>
      <c r="F13">
        <v>90</v>
      </c>
    </row>
    <row r="14" spans="1:6" x14ac:dyDescent="0.2">
      <c r="A14">
        <v>2020</v>
      </c>
      <c r="B14" t="s">
        <v>49</v>
      </c>
      <c r="C14">
        <v>12</v>
      </c>
      <c r="D14">
        <v>87</v>
      </c>
      <c r="E14">
        <v>6</v>
      </c>
      <c r="F14">
        <v>93</v>
      </c>
    </row>
    <row r="15" spans="1:6" x14ac:dyDescent="0.2">
      <c r="A15">
        <v>2020</v>
      </c>
      <c r="B15" t="s">
        <v>50</v>
      </c>
      <c r="C15">
        <v>14</v>
      </c>
      <c r="D15">
        <v>81</v>
      </c>
      <c r="E15">
        <v>5</v>
      </c>
      <c r="F15">
        <v>89</v>
      </c>
    </row>
    <row r="16" spans="1:6" x14ac:dyDescent="0.2">
      <c r="A16">
        <v>2020</v>
      </c>
      <c r="B16" t="s">
        <v>55</v>
      </c>
      <c r="C16">
        <v>12</v>
      </c>
      <c r="D16">
        <v>86</v>
      </c>
      <c r="E16">
        <v>6</v>
      </c>
      <c r="F16">
        <v>92</v>
      </c>
    </row>
    <row r="18" spans="1:6" s="1" customFormat="1" x14ac:dyDescent="0.2">
      <c r="A18" s="1" t="s">
        <v>0</v>
      </c>
      <c r="B18" s="1" t="s">
        <v>1</v>
      </c>
      <c r="C18" s="1" t="s">
        <v>66</v>
      </c>
      <c r="D18" s="1" t="s">
        <v>60</v>
      </c>
      <c r="E18" s="1" t="s">
        <v>61</v>
      </c>
      <c r="F18" s="1" t="s">
        <v>62</v>
      </c>
    </row>
    <row r="19" spans="1:6" x14ac:dyDescent="0.2">
      <c r="A19">
        <v>2020</v>
      </c>
      <c r="B19" t="s">
        <v>2</v>
      </c>
      <c r="C19">
        <v>36</v>
      </c>
      <c r="D19">
        <v>59</v>
      </c>
      <c r="E19">
        <v>30</v>
      </c>
      <c r="F19">
        <v>69</v>
      </c>
    </row>
    <row r="20" spans="1:6" x14ac:dyDescent="0.2">
      <c r="A20">
        <v>2020</v>
      </c>
      <c r="B20" t="s">
        <v>49</v>
      </c>
      <c r="C20">
        <v>39</v>
      </c>
      <c r="D20">
        <v>59</v>
      </c>
      <c r="E20">
        <v>33</v>
      </c>
      <c r="F20">
        <v>66</v>
      </c>
    </row>
    <row r="21" spans="1:6" x14ac:dyDescent="0.2">
      <c r="A21">
        <v>2020</v>
      </c>
      <c r="B21" t="s">
        <v>50</v>
      </c>
      <c r="C21">
        <v>41</v>
      </c>
      <c r="D21">
        <v>53</v>
      </c>
      <c r="E21">
        <v>30</v>
      </c>
      <c r="F21">
        <v>64</v>
      </c>
    </row>
    <row r="22" spans="1:6" x14ac:dyDescent="0.2">
      <c r="A22">
        <v>2020</v>
      </c>
      <c r="B22" t="s">
        <v>55</v>
      </c>
      <c r="C22">
        <v>31</v>
      </c>
      <c r="D22">
        <v>67</v>
      </c>
      <c r="E22">
        <v>23</v>
      </c>
      <c r="F22">
        <v>73</v>
      </c>
    </row>
    <row r="24" spans="1:6" s="1" customFormat="1" x14ac:dyDescent="0.2">
      <c r="A24" s="1" t="s">
        <v>0</v>
      </c>
      <c r="B24" s="1" t="s">
        <v>1</v>
      </c>
      <c r="C24" s="1" t="s">
        <v>67</v>
      </c>
      <c r="D24" s="1" t="s">
        <v>63</v>
      </c>
      <c r="E24" s="1" t="s">
        <v>64</v>
      </c>
      <c r="F24" s="1" t="s">
        <v>65</v>
      </c>
    </row>
    <row r="25" spans="1:6" x14ac:dyDescent="0.2">
      <c r="A25">
        <v>2020</v>
      </c>
      <c r="B25" t="s">
        <v>55</v>
      </c>
      <c r="C25">
        <v>28</v>
      </c>
      <c r="D25">
        <v>68</v>
      </c>
      <c r="E25">
        <v>28</v>
      </c>
      <c r="F25">
        <v>69</v>
      </c>
    </row>
    <row r="27" spans="1:6" s="1" customFormat="1" x14ac:dyDescent="0.2">
      <c r="A27" s="1" t="s">
        <v>0</v>
      </c>
      <c r="B27" s="1" t="s">
        <v>1</v>
      </c>
      <c r="C27" s="1" t="s">
        <v>68</v>
      </c>
      <c r="D27" s="1" t="s">
        <v>69</v>
      </c>
      <c r="E27" s="1" t="s">
        <v>70</v>
      </c>
      <c r="F27" s="1" t="s">
        <v>71</v>
      </c>
    </row>
    <row r="28" spans="1:6" x14ac:dyDescent="0.2">
      <c r="A28">
        <v>2020</v>
      </c>
      <c r="B28" t="s">
        <v>2</v>
      </c>
      <c r="C28">
        <v>55</v>
      </c>
      <c r="D28">
        <v>44</v>
      </c>
      <c r="E28">
        <v>51</v>
      </c>
      <c r="F28">
        <v>47</v>
      </c>
    </row>
    <row r="29" spans="1:6" x14ac:dyDescent="0.2">
      <c r="A29">
        <v>2020</v>
      </c>
      <c r="B29" t="s">
        <v>49</v>
      </c>
      <c r="C29">
        <v>56</v>
      </c>
      <c r="D29">
        <v>42</v>
      </c>
      <c r="E29">
        <v>52</v>
      </c>
      <c r="F29">
        <v>47</v>
      </c>
    </row>
    <row r="31" spans="1:6" s="1" customFormat="1" x14ac:dyDescent="0.2">
      <c r="A31" s="1" t="s">
        <v>0</v>
      </c>
      <c r="B31" s="1" t="s">
        <v>1</v>
      </c>
      <c r="C31" s="1" t="s">
        <v>72</v>
      </c>
      <c r="D31" s="1" t="s">
        <v>73</v>
      </c>
      <c r="E31" s="1" t="s">
        <v>74</v>
      </c>
      <c r="F31" s="1" t="s">
        <v>75</v>
      </c>
    </row>
    <row r="32" spans="1:6" x14ac:dyDescent="0.2">
      <c r="A32">
        <v>2020</v>
      </c>
      <c r="B32" t="s">
        <v>2</v>
      </c>
      <c r="C32">
        <v>45</v>
      </c>
      <c r="D32">
        <v>52</v>
      </c>
      <c r="E32">
        <v>36</v>
      </c>
      <c r="F32">
        <v>63</v>
      </c>
    </row>
    <row r="33" spans="1:6" x14ac:dyDescent="0.2">
      <c r="A33">
        <v>2020</v>
      </c>
      <c r="B33" t="s">
        <v>49</v>
      </c>
      <c r="C33">
        <v>46</v>
      </c>
      <c r="D33">
        <v>52</v>
      </c>
      <c r="E33">
        <v>37</v>
      </c>
      <c r="F33">
        <v>62</v>
      </c>
    </row>
    <row r="35" spans="1:6" s="1" customFormat="1" x14ac:dyDescent="0.2">
      <c r="A35" s="1" t="s">
        <v>0</v>
      </c>
      <c r="B35" s="1" t="s">
        <v>1</v>
      </c>
      <c r="C35" s="1" t="s">
        <v>76</v>
      </c>
      <c r="D35" s="1" t="s">
        <v>77</v>
      </c>
      <c r="E35" s="1" t="s">
        <v>78</v>
      </c>
      <c r="F35" s="1" t="s">
        <v>79</v>
      </c>
    </row>
    <row r="36" spans="1:6" x14ac:dyDescent="0.2">
      <c r="A36">
        <v>2020</v>
      </c>
      <c r="B36" t="s">
        <v>2</v>
      </c>
      <c r="C36">
        <v>41</v>
      </c>
      <c r="D36">
        <v>52</v>
      </c>
      <c r="E36">
        <v>32</v>
      </c>
      <c r="F36">
        <v>67</v>
      </c>
    </row>
    <row r="38" spans="1:6" s="1" customFormat="1" x14ac:dyDescent="0.2">
      <c r="A38" s="1" t="s">
        <v>0</v>
      </c>
      <c r="B38" s="1" t="s">
        <v>1</v>
      </c>
      <c r="C38" s="1" t="s">
        <v>80</v>
      </c>
      <c r="D38" s="1" t="s">
        <v>81</v>
      </c>
      <c r="E38" s="1" t="s">
        <v>82</v>
      </c>
      <c r="F38" s="1" t="s">
        <v>83</v>
      </c>
    </row>
    <row r="39" spans="1:6" x14ac:dyDescent="0.2">
      <c r="A39">
        <v>2020</v>
      </c>
      <c r="B39" t="s">
        <v>2</v>
      </c>
      <c r="C39">
        <v>49</v>
      </c>
      <c r="D39">
        <v>48</v>
      </c>
      <c r="E39">
        <v>42</v>
      </c>
      <c r="F39">
        <v>56</v>
      </c>
    </row>
    <row r="41" spans="1:6" s="1" customFormat="1" x14ac:dyDescent="0.2">
      <c r="A41" s="1" t="s">
        <v>0</v>
      </c>
      <c r="B41" s="1" t="s">
        <v>1</v>
      </c>
      <c r="C41" s="1" t="s">
        <v>84</v>
      </c>
      <c r="D41" s="1" t="s">
        <v>85</v>
      </c>
      <c r="E41" s="1" t="s">
        <v>86</v>
      </c>
      <c r="F41" s="1" t="s">
        <v>87</v>
      </c>
    </row>
    <row r="42" spans="1:6" x14ac:dyDescent="0.2">
      <c r="A42">
        <v>2020</v>
      </c>
      <c r="B42" t="s">
        <v>2</v>
      </c>
      <c r="C42">
        <v>57</v>
      </c>
      <c r="D42">
        <v>42</v>
      </c>
      <c r="E42">
        <v>43</v>
      </c>
      <c r="F42">
        <v>56</v>
      </c>
    </row>
    <row r="44" spans="1:6" s="1" customFormat="1" x14ac:dyDescent="0.2">
      <c r="A44" s="1" t="s">
        <v>0</v>
      </c>
      <c r="B44" s="1" t="s">
        <v>1</v>
      </c>
      <c r="C44" s="1" t="s">
        <v>88</v>
      </c>
      <c r="D44" s="1" t="s">
        <v>89</v>
      </c>
      <c r="E44" s="1" t="s">
        <v>90</v>
      </c>
      <c r="F44" s="1" t="s">
        <v>91</v>
      </c>
    </row>
    <row r="45" spans="1:6" x14ac:dyDescent="0.2">
      <c r="A45">
        <v>2020</v>
      </c>
      <c r="B45" t="s">
        <v>2</v>
      </c>
      <c r="C45">
        <v>58</v>
      </c>
      <c r="D45">
        <v>41</v>
      </c>
      <c r="E45">
        <v>47</v>
      </c>
      <c r="F45">
        <v>52</v>
      </c>
    </row>
    <row r="47" spans="1:6" s="1" customFormat="1" x14ac:dyDescent="0.2">
      <c r="A47" s="1" t="s">
        <v>0</v>
      </c>
      <c r="B47" s="1" t="s">
        <v>1</v>
      </c>
      <c r="C47" s="1" t="s">
        <v>93</v>
      </c>
      <c r="D47" s="1" t="s">
        <v>92</v>
      </c>
      <c r="E47" s="1" t="s">
        <v>94</v>
      </c>
      <c r="F47" s="1" t="s">
        <v>95</v>
      </c>
    </row>
    <row r="48" spans="1:6" x14ac:dyDescent="0.2">
      <c r="A48">
        <v>2020</v>
      </c>
      <c r="B48" t="s">
        <v>50</v>
      </c>
      <c r="C48">
        <v>77</v>
      </c>
      <c r="D48">
        <v>17</v>
      </c>
      <c r="E48">
        <v>65</v>
      </c>
      <c r="F48">
        <v>27</v>
      </c>
    </row>
    <row r="50" spans="1:6" s="1" customFormat="1" x14ac:dyDescent="0.2">
      <c r="A50" s="1" t="s">
        <v>0</v>
      </c>
      <c r="B50" s="1" t="s">
        <v>1</v>
      </c>
      <c r="C50" s="1" t="s">
        <v>96</v>
      </c>
      <c r="D50" s="1" t="s">
        <v>97</v>
      </c>
      <c r="E50" s="1" t="s">
        <v>98</v>
      </c>
      <c r="F50" s="1" t="s">
        <v>99</v>
      </c>
    </row>
    <row r="51" spans="1:6" x14ac:dyDescent="0.2">
      <c r="A51">
        <v>2020</v>
      </c>
      <c r="B51" t="s">
        <v>50</v>
      </c>
      <c r="C51">
        <v>83</v>
      </c>
      <c r="D51">
        <v>14</v>
      </c>
      <c r="E51">
        <v>78</v>
      </c>
      <c r="F51">
        <v>17</v>
      </c>
    </row>
    <row r="53" spans="1:6" s="1" customFormat="1" x14ac:dyDescent="0.2">
      <c r="A53" s="1" t="s">
        <v>0</v>
      </c>
      <c r="B53" s="1" t="s">
        <v>1</v>
      </c>
      <c r="C53" s="1" t="s">
        <v>100</v>
      </c>
      <c r="D53" s="1" t="s">
        <v>101</v>
      </c>
      <c r="E53" s="1" t="s">
        <v>102</v>
      </c>
      <c r="F53" s="1" t="s">
        <v>103</v>
      </c>
    </row>
    <row r="54" spans="1:6" x14ac:dyDescent="0.2">
      <c r="A54">
        <v>2020</v>
      </c>
      <c r="B54" t="s">
        <v>50</v>
      </c>
      <c r="C54">
        <v>80</v>
      </c>
      <c r="D54">
        <v>19</v>
      </c>
      <c r="E54">
        <v>71</v>
      </c>
      <c r="F54">
        <v>28</v>
      </c>
    </row>
    <row r="56" spans="1:6" s="1" customFormat="1" x14ac:dyDescent="0.2">
      <c r="A56" s="1" t="s">
        <v>0</v>
      </c>
      <c r="B56" s="1" t="s">
        <v>1</v>
      </c>
      <c r="C56" s="1" t="s">
        <v>104</v>
      </c>
      <c r="D56" s="1" t="s">
        <v>105</v>
      </c>
      <c r="E56" s="1" t="s">
        <v>106</v>
      </c>
      <c r="F56" s="1" t="s">
        <v>107</v>
      </c>
    </row>
    <row r="57" spans="1:6" x14ac:dyDescent="0.2">
      <c r="A57">
        <v>2020</v>
      </c>
      <c r="B57" t="s">
        <v>2</v>
      </c>
      <c r="C57">
        <v>42</v>
      </c>
      <c r="D57">
        <v>55</v>
      </c>
      <c r="E57">
        <v>35</v>
      </c>
      <c r="F57">
        <v>64</v>
      </c>
    </row>
    <row r="58" spans="1:6" x14ac:dyDescent="0.2">
      <c r="A58">
        <v>2020</v>
      </c>
      <c r="B58" t="s">
        <v>49</v>
      </c>
      <c r="C58">
        <v>40</v>
      </c>
      <c r="D58">
        <v>58</v>
      </c>
      <c r="E58">
        <v>26</v>
      </c>
      <c r="F58">
        <v>72</v>
      </c>
    </row>
    <row r="60" spans="1:6" s="1" customFormat="1" x14ac:dyDescent="0.2">
      <c r="A60" s="1" t="s">
        <v>0</v>
      </c>
      <c r="B60" s="1" t="s">
        <v>1</v>
      </c>
      <c r="C60" s="1" t="s">
        <v>108</v>
      </c>
      <c r="D60" s="1" t="s">
        <v>109</v>
      </c>
      <c r="E60" s="1" t="s">
        <v>110</v>
      </c>
      <c r="F60" s="1" t="s">
        <v>111</v>
      </c>
    </row>
    <row r="61" spans="1:6" x14ac:dyDescent="0.2">
      <c r="A61">
        <v>2020</v>
      </c>
      <c r="B61" t="s">
        <v>2</v>
      </c>
      <c r="C61">
        <v>54</v>
      </c>
      <c r="D61">
        <v>44</v>
      </c>
      <c r="E61">
        <v>43</v>
      </c>
      <c r="F61">
        <v>56</v>
      </c>
    </row>
    <row r="62" spans="1:6" x14ac:dyDescent="0.2">
      <c r="A62">
        <v>2020</v>
      </c>
      <c r="B62" t="s">
        <v>49</v>
      </c>
      <c r="C62">
        <v>48</v>
      </c>
      <c r="D62">
        <v>49</v>
      </c>
      <c r="E62">
        <v>40</v>
      </c>
      <c r="F62">
        <v>59</v>
      </c>
    </row>
    <row r="64" spans="1:6" s="1" customFormat="1" x14ac:dyDescent="0.2">
      <c r="A64" s="1" t="s">
        <v>0</v>
      </c>
      <c r="B64" s="1" t="s">
        <v>1</v>
      </c>
      <c r="C64" s="1" t="s">
        <v>112</v>
      </c>
      <c r="D64" s="1" t="s">
        <v>113</v>
      </c>
      <c r="E64" s="1" t="s">
        <v>114</v>
      </c>
      <c r="F64" s="1" t="s">
        <v>115</v>
      </c>
    </row>
    <row r="65" spans="1:6" x14ac:dyDescent="0.2">
      <c r="A65">
        <v>2020</v>
      </c>
      <c r="B65" t="s">
        <v>2</v>
      </c>
      <c r="C65">
        <v>63</v>
      </c>
      <c r="D65">
        <v>35</v>
      </c>
      <c r="E65">
        <v>50</v>
      </c>
      <c r="F65">
        <v>50</v>
      </c>
    </row>
    <row r="66" spans="1:6" x14ac:dyDescent="0.2">
      <c r="A66">
        <v>2020</v>
      </c>
      <c r="B66" t="s">
        <v>49</v>
      </c>
      <c r="C66">
        <v>64</v>
      </c>
      <c r="D66">
        <v>34</v>
      </c>
      <c r="E66">
        <v>58</v>
      </c>
      <c r="F66">
        <v>41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B4BEA-C9CD-924C-9B64-C92BC70F7765}">
  <dimension ref="A1:F3"/>
  <sheetViews>
    <sheetView topLeftCell="P1" zoomScale="112" zoomScaleNormal="112" workbookViewId="0">
      <selection activeCell="G2" sqref="G2"/>
    </sheetView>
  </sheetViews>
  <sheetFormatPr baseColWidth="10" defaultRowHeight="16" x14ac:dyDescent="0.2"/>
  <cols>
    <col min="2" max="2" width="12.1640625" customWidth="1"/>
    <col min="3" max="3" width="15.5" customWidth="1"/>
    <col min="4" max="4" width="16" customWidth="1"/>
    <col min="5" max="5" width="16.5" customWidth="1"/>
    <col min="6" max="6" width="15.83203125" customWidth="1"/>
  </cols>
  <sheetData>
    <row r="1" spans="1:6" s="6" customFormat="1" x14ac:dyDescent="0.2">
      <c r="A1" s="5" t="s">
        <v>0</v>
      </c>
      <c r="B1" s="6" t="s">
        <v>1</v>
      </c>
      <c r="C1" s="6" t="s">
        <v>220</v>
      </c>
      <c r="D1" s="6" t="s">
        <v>221</v>
      </c>
      <c r="E1" s="6" t="s">
        <v>222</v>
      </c>
      <c r="F1" s="6" t="s">
        <v>223</v>
      </c>
    </row>
    <row r="2" spans="1:6" x14ac:dyDescent="0.2">
      <c r="A2">
        <v>184</v>
      </c>
      <c r="B2" t="s">
        <v>217</v>
      </c>
      <c r="C2">
        <v>0.62</v>
      </c>
      <c r="D2">
        <v>0.37</v>
      </c>
      <c r="E2">
        <v>0.56000000000000005</v>
      </c>
      <c r="F2">
        <v>0.44</v>
      </c>
    </row>
    <row r="3" spans="1:6" s="10" customFormat="1" x14ac:dyDescent="0.2">
      <c r="A3" s="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206C6-CCCB-CD44-AD2F-F48768B8DA33}">
  <dimension ref="A1:F3"/>
  <sheetViews>
    <sheetView zoomScale="112" zoomScaleNormal="112" workbookViewId="0">
      <selection activeCell="F21" sqref="F21"/>
    </sheetView>
  </sheetViews>
  <sheetFormatPr baseColWidth="10" defaultRowHeight="16" x14ac:dyDescent="0.2"/>
  <cols>
    <col min="1" max="1" width="12" customWidth="1"/>
    <col min="2" max="2" width="14.5" customWidth="1"/>
    <col min="3" max="3" width="15" customWidth="1"/>
    <col min="4" max="4" width="15.33203125" customWidth="1"/>
    <col min="5" max="5" width="16.6640625" customWidth="1"/>
    <col min="6" max="6" width="15.33203125" customWidth="1"/>
  </cols>
  <sheetData>
    <row r="1" spans="1:6" s="6" customFormat="1" x14ac:dyDescent="0.2">
      <c r="A1" s="5" t="s">
        <v>0</v>
      </c>
      <c r="B1" s="6" t="s">
        <v>1</v>
      </c>
      <c r="C1" s="6" t="s">
        <v>220</v>
      </c>
      <c r="D1" s="6" t="s">
        <v>225</v>
      </c>
      <c r="E1" s="6" t="s">
        <v>222</v>
      </c>
      <c r="F1" s="6" t="s">
        <v>224</v>
      </c>
    </row>
    <row r="2" spans="1:6" x14ac:dyDescent="0.2">
      <c r="A2">
        <v>1980</v>
      </c>
      <c r="B2" t="s">
        <v>217</v>
      </c>
      <c r="C2">
        <v>0.55000000000000004</v>
      </c>
      <c r="D2">
        <v>0.36</v>
      </c>
      <c r="E2">
        <v>0.47</v>
      </c>
      <c r="F2">
        <v>0.45</v>
      </c>
    </row>
    <row r="3" spans="1:6" s="10" customFormat="1" x14ac:dyDescent="0.2">
      <c r="A3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F6F3B-94A7-DA40-BCFD-4B9DAF41FB41}">
  <dimension ref="A1:J34"/>
  <sheetViews>
    <sheetView zoomScale="112" zoomScaleNormal="112" workbookViewId="0">
      <selection activeCell="A16" sqref="A16"/>
    </sheetView>
  </sheetViews>
  <sheetFormatPr baseColWidth="10" defaultRowHeight="16" x14ac:dyDescent="0.2"/>
  <cols>
    <col min="1" max="2" width="17.6640625" customWidth="1"/>
    <col min="3" max="3" width="20.83203125" customWidth="1"/>
    <col min="4" max="4" width="22.6640625" customWidth="1"/>
    <col min="5" max="5" width="23" customWidth="1"/>
    <col min="6" max="6" width="25" customWidth="1"/>
    <col min="7" max="8" width="21" customWidth="1"/>
    <col min="9" max="9" width="20.5" customWidth="1"/>
    <col min="10" max="10" width="22.33203125" customWidth="1"/>
  </cols>
  <sheetData>
    <row r="1" spans="1:6" s="6" customFormat="1" x14ac:dyDescent="0.2">
      <c r="A1" s="5" t="s">
        <v>0</v>
      </c>
      <c r="B1" s="6" t="s">
        <v>1</v>
      </c>
      <c r="C1" s="6" t="s">
        <v>160</v>
      </c>
      <c r="D1" s="6" t="s">
        <v>161</v>
      </c>
      <c r="E1" s="6" t="s">
        <v>162</v>
      </c>
      <c r="F1" s="6" t="s">
        <v>163</v>
      </c>
    </row>
    <row r="2" spans="1:6" s="2" customFormat="1" x14ac:dyDescent="0.2">
      <c r="A2" s="2">
        <v>2016</v>
      </c>
      <c r="B2" s="2" t="s">
        <v>2</v>
      </c>
      <c r="C2" s="3">
        <v>0.52</v>
      </c>
      <c r="D2" s="3">
        <v>0.41</v>
      </c>
      <c r="E2" s="3">
        <v>0.41</v>
      </c>
      <c r="F2" s="3">
        <v>0.54</v>
      </c>
    </row>
    <row r="3" spans="1:6" s="2" customFormat="1" x14ac:dyDescent="0.2">
      <c r="A3" s="2">
        <v>2016</v>
      </c>
      <c r="B3" s="2" t="s">
        <v>50</v>
      </c>
      <c r="C3" s="3">
        <v>0.49</v>
      </c>
      <c r="D3" s="3">
        <v>0.44</v>
      </c>
      <c r="E3" s="3">
        <v>0.43</v>
      </c>
      <c r="F3" s="3">
        <v>0.52</v>
      </c>
    </row>
    <row r="5" spans="1:6" s="1" customFormat="1" x14ac:dyDescent="0.2">
      <c r="A5" s="1" t="s">
        <v>0</v>
      </c>
      <c r="B5" s="1" t="s">
        <v>1</v>
      </c>
      <c r="C5" s="1" t="s">
        <v>165</v>
      </c>
      <c r="D5" s="1" t="s">
        <v>182</v>
      </c>
      <c r="E5" s="1" t="s">
        <v>166</v>
      </c>
      <c r="F5" s="1" t="s">
        <v>183</v>
      </c>
    </row>
    <row r="6" spans="1:6" s="2" customFormat="1" x14ac:dyDescent="0.2">
      <c r="A6" s="2">
        <v>2016</v>
      </c>
      <c r="B6" s="2" t="s">
        <v>2</v>
      </c>
      <c r="C6" s="3">
        <v>0.62</v>
      </c>
      <c r="D6" s="3">
        <v>0.31</v>
      </c>
      <c r="E6" s="3">
        <v>0.52</v>
      </c>
      <c r="F6" s="3">
        <v>0.43</v>
      </c>
    </row>
    <row r="7" spans="1:6" s="2" customFormat="1" x14ac:dyDescent="0.2">
      <c r="A7" s="2">
        <v>2016</v>
      </c>
      <c r="B7" s="2" t="s">
        <v>50</v>
      </c>
      <c r="C7" s="3">
        <v>0.56000000000000005</v>
      </c>
      <c r="D7" s="3">
        <v>0.36</v>
      </c>
      <c r="E7" s="3">
        <v>0.52</v>
      </c>
      <c r="F7" s="3">
        <v>0.43</v>
      </c>
    </row>
    <row r="9" spans="1:6" s="1" customFormat="1" x14ac:dyDescent="0.2">
      <c r="A9" s="1" t="s">
        <v>0</v>
      </c>
      <c r="B9" s="1" t="s">
        <v>1</v>
      </c>
      <c r="C9" s="1" t="s">
        <v>164</v>
      </c>
      <c r="D9" s="1" t="s">
        <v>184</v>
      </c>
      <c r="E9" s="1" t="s">
        <v>167</v>
      </c>
      <c r="F9" s="1" t="s">
        <v>185</v>
      </c>
    </row>
    <row r="10" spans="1:6" s="2" customFormat="1" x14ac:dyDescent="0.2">
      <c r="A10" s="2">
        <v>2016</v>
      </c>
      <c r="B10" s="2" t="s">
        <v>2</v>
      </c>
      <c r="C10" s="3">
        <v>0.13</v>
      </c>
      <c r="D10" s="3">
        <v>0.82</v>
      </c>
      <c r="E10" s="3">
        <v>0.04</v>
      </c>
      <c r="F10" s="3">
        <v>0.94</v>
      </c>
    </row>
    <row r="11" spans="1:6" s="2" customFormat="1" x14ac:dyDescent="0.2">
      <c r="A11" s="2">
        <v>2016</v>
      </c>
      <c r="B11" s="2" t="s">
        <v>50</v>
      </c>
      <c r="C11" s="3">
        <v>0.13</v>
      </c>
      <c r="D11" s="3">
        <v>0.84</v>
      </c>
      <c r="E11" s="3">
        <v>0.04</v>
      </c>
      <c r="F11" s="3">
        <v>0.92</v>
      </c>
    </row>
    <row r="13" spans="1:6" s="1" customFormat="1" x14ac:dyDescent="0.2">
      <c r="A13" s="1" t="s">
        <v>0</v>
      </c>
      <c r="B13" s="1" t="s">
        <v>1</v>
      </c>
      <c r="C13" s="1" t="s">
        <v>168</v>
      </c>
      <c r="D13" s="1" t="s">
        <v>186</v>
      </c>
      <c r="E13" s="1" t="s">
        <v>169</v>
      </c>
      <c r="F13" s="1" t="s">
        <v>187</v>
      </c>
    </row>
    <row r="14" spans="1:6" s="2" customFormat="1" x14ac:dyDescent="0.2">
      <c r="A14" s="2">
        <v>2016</v>
      </c>
      <c r="B14" s="2" t="s">
        <v>2</v>
      </c>
      <c r="C14" s="3">
        <v>0.32</v>
      </c>
      <c r="D14" s="3">
        <v>0.63</v>
      </c>
      <c r="E14" s="3">
        <v>0.25</v>
      </c>
      <c r="F14" s="3">
        <v>0.69</v>
      </c>
    </row>
    <row r="15" spans="1:6" s="2" customFormat="1" x14ac:dyDescent="0.2">
      <c r="A15" s="2">
        <v>2016</v>
      </c>
      <c r="B15" s="2" t="s">
        <v>50</v>
      </c>
      <c r="C15" s="3">
        <v>0.31</v>
      </c>
      <c r="D15" s="3">
        <v>0.6</v>
      </c>
      <c r="E15" s="3">
        <v>0.27</v>
      </c>
      <c r="F15" s="3">
        <v>0.68</v>
      </c>
    </row>
    <row r="16" spans="1:6" s="2" customFormat="1" x14ac:dyDescent="0.2">
      <c r="A16" s="2">
        <v>2016</v>
      </c>
      <c r="B16" s="2" t="s">
        <v>55</v>
      </c>
      <c r="C16" s="3">
        <v>0.24</v>
      </c>
      <c r="D16" s="3">
        <v>0.71</v>
      </c>
      <c r="E16" s="3">
        <v>0.12</v>
      </c>
      <c r="F16" s="3">
        <v>0.86</v>
      </c>
    </row>
    <row r="17" spans="1:10" s="2" customFormat="1" x14ac:dyDescent="0.2">
      <c r="C17" s="3"/>
      <c r="D17" s="3"/>
      <c r="E17" s="3"/>
      <c r="F17" s="3"/>
    </row>
    <row r="18" spans="1:10" s="7" customFormat="1" x14ac:dyDescent="0.2">
      <c r="A18" s="7" t="s">
        <v>0</v>
      </c>
      <c r="B18" s="7" t="s">
        <v>1</v>
      </c>
      <c r="C18" s="8" t="s">
        <v>200</v>
      </c>
      <c r="D18" s="8" t="s">
        <v>201</v>
      </c>
      <c r="E18" s="8" t="s">
        <v>202</v>
      </c>
      <c r="F18" s="8" t="s">
        <v>203</v>
      </c>
    </row>
    <row r="19" spans="1:10" s="2" customFormat="1" x14ac:dyDescent="0.2">
      <c r="A19" s="2">
        <v>2016</v>
      </c>
      <c r="B19" s="2" t="s">
        <v>55</v>
      </c>
      <c r="C19" s="3">
        <v>0.21</v>
      </c>
      <c r="D19" s="3">
        <v>0.72</v>
      </c>
      <c r="E19" s="3">
        <v>0.17</v>
      </c>
      <c r="F19" s="3">
        <v>0.79</v>
      </c>
    </row>
    <row r="21" spans="1:10" s="1" customFormat="1" x14ac:dyDescent="0.2">
      <c r="A21" s="1" t="s">
        <v>20</v>
      </c>
      <c r="B21" s="1" t="s">
        <v>1</v>
      </c>
      <c r="C21" s="1" t="s">
        <v>170</v>
      </c>
      <c r="D21" s="1" t="s">
        <v>188</v>
      </c>
      <c r="E21" s="1" t="s">
        <v>171</v>
      </c>
      <c r="F21" s="1" t="s">
        <v>189</v>
      </c>
      <c r="G21" s="1" t="s">
        <v>172</v>
      </c>
      <c r="H21" s="1" t="s">
        <v>190</v>
      </c>
      <c r="I21" s="1" t="s">
        <v>173</v>
      </c>
      <c r="J21" s="1" t="s">
        <v>191</v>
      </c>
    </row>
    <row r="22" spans="1:10" s="2" customFormat="1" x14ac:dyDescent="0.2">
      <c r="A22" s="2">
        <v>2016</v>
      </c>
      <c r="B22" s="2" t="s">
        <v>2</v>
      </c>
      <c r="C22" s="3">
        <v>0.56999999999999995</v>
      </c>
      <c r="D22" s="3">
        <v>0.38</v>
      </c>
      <c r="E22" s="3">
        <v>0.47</v>
      </c>
      <c r="F22" s="3">
        <v>0.49</v>
      </c>
      <c r="G22" s="3">
        <v>0.44</v>
      </c>
      <c r="H22" s="3">
        <v>0.46</v>
      </c>
      <c r="I22" s="3">
        <v>0.32</v>
      </c>
      <c r="J22" s="3">
        <v>0.63</v>
      </c>
    </row>
    <row r="24" spans="1:10" s="1" customFormat="1" x14ac:dyDescent="0.2">
      <c r="A24" s="1" t="s">
        <v>0</v>
      </c>
      <c r="B24" s="1" t="s">
        <v>1</v>
      </c>
      <c r="C24" s="1" t="s">
        <v>174</v>
      </c>
      <c r="D24" s="1" t="s">
        <v>192</v>
      </c>
      <c r="E24" s="1" t="s">
        <v>175</v>
      </c>
      <c r="F24" s="1" t="s">
        <v>193</v>
      </c>
    </row>
    <row r="25" spans="1:10" s="2" customFormat="1" x14ac:dyDescent="0.2">
      <c r="A25" s="2">
        <v>2016</v>
      </c>
      <c r="B25" s="2" t="s">
        <v>2</v>
      </c>
      <c r="C25" s="2">
        <f>864.21/2128.57</f>
        <v>0.40600497047313455</v>
      </c>
      <c r="D25" s="2">
        <f>997.465/2128.57</f>
        <v>0.46860803262284068</v>
      </c>
      <c r="E25" s="2">
        <f>611.72/2041.43</f>
        <v>0.29965269443478348</v>
      </c>
      <c r="F25" s="2">
        <f>1278.317/2041.427</f>
        <v>0.62618795577799258</v>
      </c>
    </row>
    <row r="27" spans="1:10" s="1" customFormat="1" x14ac:dyDescent="0.2">
      <c r="A27" s="1" t="s">
        <v>20</v>
      </c>
      <c r="B27" s="1" t="s">
        <v>1</v>
      </c>
      <c r="C27" s="1" t="s">
        <v>176</v>
      </c>
      <c r="D27" s="1" t="s">
        <v>194</v>
      </c>
      <c r="E27" s="1" t="s">
        <v>177</v>
      </c>
      <c r="F27" s="1" t="s">
        <v>195</v>
      </c>
    </row>
    <row r="28" spans="1:10" s="2" customFormat="1" x14ac:dyDescent="0.2">
      <c r="A28" s="2">
        <v>2016</v>
      </c>
      <c r="B28" s="2" t="s">
        <v>2</v>
      </c>
      <c r="C28" s="2">
        <f>1390.84/2829</f>
        <v>0.49163662071403319</v>
      </c>
      <c r="D28" s="2">
        <f>1223.441/2892.015</f>
        <v>0.42304102848705838</v>
      </c>
      <c r="E28" s="2">
        <f>1130.291/3234.985</f>
        <v>0.34939605593225315</v>
      </c>
      <c r="F28" s="2">
        <f>1875.201/3234.985</f>
        <v>0.57966296597974953</v>
      </c>
    </row>
    <row r="30" spans="1:10" s="1" customFormat="1" x14ac:dyDescent="0.2">
      <c r="A30" s="1" t="s">
        <v>0</v>
      </c>
      <c r="B30" s="1" t="s">
        <v>1</v>
      </c>
      <c r="C30" s="1" t="s">
        <v>178</v>
      </c>
      <c r="D30" s="1" t="s">
        <v>196</v>
      </c>
      <c r="E30" s="1" t="s">
        <v>179</v>
      </c>
      <c r="F30" s="1" t="s">
        <v>197</v>
      </c>
    </row>
    <row r="31" spans="1:10" s="2" customFormat="1" x14ac:dyDescent="0.2">
      <c r="A31" s="2">
        <v>2016</v>
      </c>
      <c r="B31" s="2" t="s">
        <v>2</v>
      </c>
      <c r="C31" s="2">
        <f>2632.747/4570.39</f>
        <v>0.57604427630902388</v>
      </c>
      <c r="D31" s="2">
        <f>1734.65/4570.39</f>
        <v>0.37954091445150195</v>
      </c>
      <c r="E31" s="2">
        <f>2358.72/5025.61</f>
        <v>0.46934004031351417</v>
      </c>
      <c r="F31" s="2">
        <f>2472.09/5025.61</f>
        <v>0.49189849590397988</v>
      </c>
    </row>
    <row r="33" spans="1:6" s="1" customFormat="1" x14ac:dyDescent="0.2">
      <c r="A33" s="1" t="s">
        <v>0</v>
      </c>
      <c r="B33" s="1" t="s">
        <v>1</v>
      </c>
      <c r="C33" s="1" t="s">
        <v>180</v>
      </c>
      <c r="D33" s="1" t="s">
        <v>198</v>
      </c>
      <c r="E33" s="1" t="s">
        <v>181</v>
      </c>
      <c r="F33" s="1" t="s">
        <v>199</v>
      </c>
    </row>
    <row r="34" spans="1:6" s="2" customFormat="1" x14ac:dyDescent="0.2">
      <c r="A34" s="2">
        <v>2016</v>
      </c>
      <c r="B34" s="2" t="s">
        <v>2</v>
      </c>
      <c r="C34" s="2">
        <f>1191.663/2061.625</f>
        <v>0.57802122112411325</v>
      </c>
      <c r="D34" s="2">
        <f>786.09/2061.625</f>
        <v>0.3812963075244043</v>
      </c>
      <c r="E34" s="2">
        <f>1184.36/2528.38</f>
        <v>0.46842642324334155</v>
      </c>
      <c r="F34" s="2">
        <f>1272.25/2528.375</f>
        <v>0.50318880704009494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6F2F9-144C-5D48-BBA2-13E48D6D328F}">
  <dimension ref="A1:J26"/>
  <sheetViews>
    <sheetView zoomScale="112" zoomScaleNormal="112" workbookViewId="0">
      <selection activeCell="D11" sqref="D11"/>
    </sheetView>
  </sheetViews>
  <sheetFormatPr baseColWidth="10" defaultRowHeight="16" x14ac:dyDescent="0.2"/>
  <cols>
    <col min="3" max="3" width="20.5" customWidth="1"/>
    <col min="4" max="4" width="19.5" customWidth="1"/>
    <col min="5" max="5" width="23.1640625" customWidth="1"/>
    <col min="6" max="6" width="21.33203125" customWidth="1"/>
    <col min="7" max="7" width="25.1640625" customWidth="1"/>
    <col min="8" max="8" width="22.83203125" customWidth="1"/>
    <col min="9" max="9" width="28.1640625" customWidth="1"/>
    <col min="10" max="10" width="25.33203125" customWidth="1"/>
  </cols>
  <sheetData>
    <row r="1" spans="1:10" s="6" customFormat="1" x14ac:dyDescent="0.2">
      <c r="A1" s="5" t="s">
        <v>0</v>
      </c>
      <c r="B1" s="6" t="s">
        <v>1</v>
      </c>
      <c r="C1" s="6" t="s">
        <v>3</v>
      </c>
      <c r="D1" s="6" t="s">
        <v>4</v>
      </c>
      <c r="E1" s="6" t="s">
        <v>5</v>
      </c>
      <c r="F1" s="6" t="s">
        <v>6</v>
      </c>
    </row>
    <row r="2" spans="1:10" x14ac:dyDescent="0.2">
      <c r="A2">
        <v>2012</v>
      </c>
      <c r="B2" t="s">
        <v>2</v>
      </c>
      <c r="C2">
        <v>51.79</v>
      </c>
      <c r="D2">
        <v>45.13</v>
      </c>
      <c r="E2">
        <v>43.77</v>
      </c>
      <c r="F2">
        <v>54.66</v>
      </c>
    </row>
    <row r="4" spans="1:10" s="1" customFormat="1" x14ac:dyDescent="0.2">
      <c r="A4" s="1" t="s">
        <v>0</v>
      </c>
      <c r="B4" s="1" t="s">
        <v>1</v>
      </c>
      <c r="C4" s="1" t="s">
        <v>7</v>
      </c>
      <c r="D4" s="1" t="s">
        <v>10</v>
      </c>
      <c r="E4" s="1" t="s">
        <v>9</v>
      </c>
      <c r="F4" s="1" t="s">
        <v>8</v>
      </c>
    </row>
    <row r="5" spans="1:10" x14ac:dyDescent="0.2">
      <c r="A5">
        <v>2012</v>
      </c>
      <c r="B5" t="s">
        <v>2</v>
      </c>
      <c r="C5">
        <v>61.64</v>
      </c>
      <c r="D5">
        <v>35.24</v>
      </c>
      <c r="E5">
        <v>55.9</v>
      </c>
      <c r="F5">
        <v>42.43</v>
      </c>
    </row>
    <row r="7" spans="1:10" s="1" customFormat="1" x14ac:dyDescent="0.2">
      <c r="A7" s="1" t="s">
        <v>0</v>
      </c>
      <c r="B7" s="1" t="s">
        <v>1</v>
      </c>
      <c r="C7" s="1" t="s">
        <v>11</v>
      </c>
      <c r="D7" s="1" t="s">
        <v>12</v>
      </c>
      <c r="E7" s="1" t="s">
        <v>13</v>
      </c>
      <c r="F7" s="1" t="s">
        <v>14</v>
      </c>
    </row>
    <row r="8" spans="1:10" x14ac:dyDescent="0.2">
      <c r="A8">
        <v>2012</v>
      </c>
      <c r="B8" t="s">
        <v>2</v>
      </c>
      <c r="C8">
        <f xml:space="preserve"> (148.26459/1349.758)*100</f>
        <v>10.98453130116658</v>
      </c>
      <c r="D8">
        <f>(1178.676/1349.758)*100</f>
        <v>87.32498714584392</v>
      </c>
      <c r="E8">
        <f>(68.7251281/2016.242)*100</f>
        <v>3.4085753644651788</v>
      </c>
      <c r="F8">
        <f>(1935.443/2016.242)*100</f>
        <v>95.992594142964975</v>
      </c>
    </row>
    <row r="10" spans="1:10" s="1" customFormat="1" x14ac:dyDescent="0.2">
      <c r="A10" s="1" t="s">
        <v>0</v>
      </c>
      <c r="B10" s="1" t="s">
        <v>1</v>
      </c>
      <c r="C10" s="1" t="s">
        <v>15</v>
      </c>
      <c r="D10" s="1" t="s">
        <v>16</v>
      </c>
      <c r="E10" s="1" t="s">
        <v>17</v>
      </c>
      <c r="F10" s="1" t="s">
        <v>18</v>
      </c>
    </row>
    <row r="11" spans="1:10" x14ac:dyDescent="0.2">
      <c r="A11">
        <v>2012</v>
      </c>
      <c r="B11" t="s">
        <v>19</v>
      </c>
      <c r="C11">
        <f>385.2002/1171.729*100</f>
        <v>32.874512792633794</v>
      </c>
      <c r="D11" s="4">
        <f>755.40084/1171.729*100</f>
        <v>64.468903645808879</v>
      </c>
      <c r="E11">
        <f>312.11293/1370.271*100</f>
        <v>22.777460079064653</v>
      </c>
      <c r="F11">
        <f>1035.87/1370.271*100</f>
        <v>75.595995244736258</v>
      </c>
    </row>
    <row r="13" spans="1:10" s="1" customFormat="1" x14ac:dyDescent="0.2">
      <c r="A13" s="1" t="s">
        <v>20</v>
      </c>
      <c r="B13" s="1" t="s">
        <v>1</v>
      </c>
      <c r="C13" s="1" t="s">
        <v>24</v>
      </c>
      <c r="D13" s="1" t="s">
        <v>21</v>
      </c>
      <c r="E13" s="1" t="s">
        <v>23</v>
      </c>
      <c r="F13" s="1" t="s">
        <v>22</v>
      </c>
      <c r="G13" s="1" t="s">
        <v>25</v>
      </c>
      <c r="H13" s="1" t="s">
        <v>26</v>
      </c>
      <c r="I13" s="1" t="s">
        <v>27</v>
      </c>
      <c r="J13" s="1" t="s">
        <v>28</v>
      </c>
    </row>
    <row r="14" spans="1:10" x14ac:dyDescent="0.2">
      <c r="A14">
        <v>2012</v>
      </c>
      <c r="B14" t="s">
        <v>2</v>
      </c>
      <c r="C14">
        <f>3540.131/5928.454*100</f>
        <v>59.71423578558592</v>
      </c>
      <c r="D14">
        <f>2255.34/5928.454*100</f>
        <v>38.042633037213413</v>
      </c>
      <c r="E14">
        <f>3375.199/6355.546*100</f>
        <v>53.106357817251258</v>
      </c>
      <c r="F14">
        <f>2904.029/6355.546*100</f>
        <v>45.692832685028165</v>
      </c>
      <c r="G14">
        <f>1460.072/3693.824*100</f>
        <v>39.527384087601355</v>
      </c>
      <c r="H14">
        <f>2070.11/3693.824*100</f>
        <v>56.042464394621952</v>
      </c>
      <c r="I14">
        <f>1470.255/4758.176*100</f>
        <v>30.899550584089365</v>
      </c>
      <c r="J14">
        <f>3194.757/4758.176*100</f>
        <v>67.142472241463949</v>
      </c>
    </row>
    <row r="16" spans="1:10" s="1" customFormat="1" x14ac:dyDescent="0.2">
      <c r="A16" s="1" t="s">
        <v>0</v>
      </c>
      <c r="B16" s="1" t="s">
        <v>1</v>
      </c>
      <c r="C16" s="1" t="s">
        <v>29</v>
      </c>
      <c r="D16" s="1" t="s">
        <v>30</v>
      </c>
      <c r="E16" s="1" t="s">
        <v>31</v>
      </c>
      <c r="F16" s="1" t="s">
        <v>32</v>
      </c>
    </row>
    <row r="17" spans="1:6" x14ac:dyDescent="0.2">
      <c r="A17">
        <v>2012</v>
      </c>
      <c r="B17" t="s">
        <v>2</v>
      </c>
      <c r="C17">
        <f>897.38957/2157.967*100</f>
        <v>41.584953338026018</v>
      </c>
      <c r="D17">
        <f>1141.842/2157.967*100</f>
        <v>52.912857332850784</v>
      </c>
      <c r="E17">
        <f>735.45993/2325.033*100</f>
        <v>31.632236187615405</v>
      </c>
      <c r="F17">
        <f>1532.269/2325.033*100</f>
        <v>65.90310761180595</v>
      </c>
    </row>
    <row r="19" spans="1:6" s="1" customFormat="1" x14ac:dyDescent="0.2">
      <c r="A19" s="1" t="s">
        <v>20</v>
      </c>
      <c r="B19" s="1" t="s">
        <v>1</v>
      </c>
      <c r="C19" s="1" t="s">
        <v>33</v>
      </c>
      <c r="D19" s="1" t="s">
        <v>34</v>
      </c>
      <c r="E19" s="1" t="s">
        <v>35</v>
      </c>
      <c r="F19" s="1" t="s">
        <v>36</v>
      </c>
    </row>
    <row r="20" spans="1:6" x14ac:dyDescent="0.2">
      <c r="A20">
        <v>2012</v>
      </c>
      <c r="B20" t="s">
        <v>2</v>
      </c>
      <c r="C20">
        <f>1554.913/3214.413*100</f>
        <v>48.373155534151955</v>
      </c>
      <c r="D20">
        <f>1512.719/3214.413*100</f>
        <v>47.060505292879292</v>
      </c>
      <c r="E20">
        <f>1568.098/3706.587*100</f>
        <v>42.305711426711419</v>
      </c>
      <c r="F20">
        <f>2068.234/3706.587*100</f>
        <v>55.798879130585632</v>
      </c>
    </row>
    <row r="22" spans="1:6" s="1" customFormat="1" x14ac:dyDescent="0.2">
      <c r="A22" s="1" t="s">
        <v>0</v>
      </c>
      <c r="B22" s="1" t="s">
        <v>1</v>
      </c>
      <c r="C22" s="1" t="s">
        <v>37</v>
      </c>
      <c r="D22" s="1" t="s">
        <v>38</v>
      </c>
      <c r="E22" s="1" t="s">
        <v>39</v>
      </c>
      <c r="F22" s="1" t="s">
        <v>40</v>
      </c>
    </row>
    <row r="23" spans="1:6" x14ac:dyDescent="0.2">
      <c r="A23">
        <v>2012</v>
      </c>
      <c r="B23" t="s">
        <v>2</v>
      </c>
      <c r="C23">
        <f>2736.088/4903.681*100</f>
        <v>55.796614828737845</v>
      </c>
      <c r="D23">
        <f>2086.275/4903.681*100</f>
        <v>42.545079910377538</v>
      </c>
      <c r="E23">
        <f>2836.62/5525.319*100</f>
        <v>51.338574297701179</v>
      </c>
      <c r="F23">
        <f>2620.468/5525.319*100</f>
        <v>47.426546774946381</v>
      </c>
    </row>
    <row r="25" spans="1:6" s="1" customFormat="1" x14ac:dyDescent="0.2">
      <c r="A25" s="1" t="s">
        <v>0</v>
      </c>
      <c r="B25" s="1" t="s">
        <v>1</v>
      </c>
      <c r="C25" s="1" t="s">
        <v>41</v>
      </c>
      <c r="D25" s="1" t="s">
        <v>42</v>
      </c>
      <c r="E25" s="1" t="s">
        <v>43</v>
      </c>
      <c r="F25" s="1" t="s">
        <v>44</v>
      </c>
    </row>
    <row r="26" spans="1:6" x14ac:dyDescent="0.2">
      <c r="A26">
        <v>2012</v>
      </c>
      <c r="B26" t="s">
        <v>2</v>
      </c>
      <c r="C26">
        <f>1230.536/2009.339*100</f>
        <v>61.240835916687033</v>
      </c>
      <c r="D26">
        <f>761.972767/2009.339*100</f>
        <v>37.921563608729045</v>
      </c>
      <c r="E26">
        <f>1331.1729/2604.661*100</f>
        <v>51.107337960678954</v>
      </c>
      <c r="F26">
        <f>1251.575/2604.661*100</f>
        <v>48.051358698886339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49D41-58EF-2349-AAAF-02D6EA92C61B}">
  <dimension ref="A1:J26"/>
  <sheetViews>
    <sheetView zoomScale="112" zoomScaleNormal="112" workbookViewId="0">
      <selection activeCell="H2" sqref="H2"/>
    </sheetView>
  </sheetViews>
  <sheetFormatPr baseColWidth="10" defaultRowHeight="16" x14ac:dyDescent="0.2"/>
  <cols>
    <col min="1" max="2" width="10.83203125" style="4"/>
    <col min="3" max="3" width="22.1640625" style="4" customWidth="1"/>
    <col min="4" max="4" width="25.5" style="4" customWidth="1"/>
    <col min="5" max="5" width="25.33203125" style="4" customWidth="1"/>
    <col min="6" max="6" width="25.83203125" style="4" customWidth="1"/>
    <col min="7" max="7" width="26" style="4" customWidth="1"/>
    <col min="8" max="8" width="28.83203125" style="4" customWidth="1"/>
    <col min="9" max="9" width="27.1640625" style="4" customWidth="1"/>
    <col min="10" max="10" width="29.5" style="4" customWidth="1"/>
    <col min="11" max="16384" width="10.83203125" style="4"/>
  </cols>
  <sheetData>
    <row r="1" spans="1:10" s="6" customFormat="1" x14ac:dyDescent="0.2">
      <c r="A1" s="5" t="s">
        <v>0</v>
      </c>
      <c r="B1" s="6" t="s">
        <v>1</v>
      </c>
      <c r="C1" s="6" t="s">
        <v>116</v>
      </c>
      <c r="D1" s="6" t="s">
        <v>4</v>
      </c>
      <c r="E1" s="6" t="s">
        <v>117</v>
      </c>
      <c r="F1" s="6" t="s">
        <v>6</v>
      </c>
    </row>
    <row r="2" spans="1:10" x14ac:dyDescent="0.2">
      <c r="A2" s="4">
        <v>2008</v>
      </c>
      <c r="B2" s="4" t="s">
        <v>2</v>
      </c>
      <c r="C2" s="4">
        <f>4016.675/8338.295*100</f>
        <v>48.171418737283823</v>
      </c>
      <c r="D2" s="4">
        <f>4112.674/8338.295*100</f>
        <v>49.322721251766701</v>
      </c>
      <c r="E2" s="4">
        <f>4048.473/9482.705*100</f>
        <v>42.693229410806303</v>
      </c>
      <c r="F2" s="4">
        <f>5253.096/9482.705*100</f>
        <v>55.396598333492385</v>
      </c>
      <c r="G2" s="4" t="s">
        <v>232</v>
      </c>
    </row>
    <row r="4" spans="1:10" s="1" customFormat="1" x14ac:dyDescent="0.2">
      <c r="A4" s="1" t="s">
        <v>0</v>
      </c>
      <c r="B4" s="1" t="s">
        <v>1</v>
      </c>
      <c r="C4" s="1" t="s">
        <v>118</v>
      </c>
      <c r="D4" s="1" t="s">
        <v>10</v>
      </c>
      <c r="E4" s="1" t="s">
        <v>121</v>
      </c>
      <c r="F4" s="1" t="s">
        <v>8</v>
      </c>
    </row>
    <row r="5" spans="1:10" x14ac:dyDescent="0.2">
      <c r="A5" s="4">
        <v>2008</v>
      </c>
      <c r="B5" s="4" t="s">
        <v>2</v>
      </c>
      <c r="C5" s="4">
        <f>3422.6001/6037.323*100</f>
        <v>56.690690559375398</v>
      </c>
      <c r="D5" s="4">
        <f>2463.57/6037.323*100</f>
        <v>40.80566834009047</v>
      </c>
      <c r="E5" s="4">
        <f>3431.11/6536.677*100</f>
        <v>52.490126099239717</v>
      </c>
      <c r="F5" s="4">
        <f>2990.208/6536.677*100</f>
        <v>45.745078118438471</v>
      </c>
    </row>
    <row r="7" spans="1:10" s="1" customFormat="1" x14ac:dyDescent="0.2">
      <c r="A7" s="1" t="s">
        <v>0</v>
      </c>
      <c r="B7" s="1" t="s">
        <v>1</v>
      </c>
      <c r="C7" s="1" t="s">
        <v>119</v>
      </c>
      <c r="D7" s="1" t="s">
        <v>12</v>
      </c>
      <c r="E7" s="1" t="s">
        <v>122</v>
      </c>
      <c r="F7" s="1" t="s">
        <v>14</v>
      </c>
    </row>
    <row r="8" spans="1:10" x14ac:dyDescent="0.2">
      <c r="A8" s="4">
        <v>2008</v>
      </c>
      <c r="B8" s="4" t="s">
        <v>2</v>
      </c>
      <c r="C8" s="4">
        <f>52.78904/1051.301*100</f>
        <v>5.0213059818263277</v>
      </c>
      <c r="D8" s="4">
        <f>995.96714/1051.301*100</f>
        <v>94.736630137325079</v>
      </c>
      <c r="E8" s="4">
        <f>41.378289/1451.699*100</f>
        <v>2.8503352967798419</v>
      </c>
      <c r="F8" s="4">
        <f>1388.789/1451.699*100</f>
        <v>95.666457027248754</v>
      </c>
    </row>
    <row r="10" spans="1:10" s="1" customFormat="1" x14ac:dyDescent="0.2">
      <c r="A10" s="1" t="s">
        <v>0</v>
      </c>
      <c r="B10" s="1" t="s">
        <v>1</v>
      </c>
      <c r="C10" s="1" t="s">
        <v>120</v>
      </c>
      <c r="D10" s="1" t="s">
        <v>16</v>
      </c>
      <c r="E10" s="1" t="s">
        <v>123</v>
      </c>
      <c r="F10" s="1" t="s">
        <v>18</v>
      </c>
    </row>
    <row r="11" spans="1:10" x14ac:dyDescent="0.2">
      <c r="A11" s="4">
        <v>2008</v>
      </c>
      <c r="B11" s="4" t="s">
        <v>19</v>
      </c>
      <c r="C11" s="4">
        <f>228.09132/ 703.66288*100</f>
        <v>32.414857523818789</v>
      </c>
      <c r="D11" s="4">
        <f>451.02321/703.66288*100</f>
        <v>64.0964903534488</v>
      </c>
      <c r="E11" s="4">
        <f>244.45126 / 823.33712*100</f>
        <v>29.690299885908217</v>
      </c>
      <c r="F11" s="4">
        <f xml:space="preserve"> 562.70721/823.33712*100</f>
        <v>68.344690932919434</v>
      </c>
    </row>
    <row r="13" spans="1:10" s="1" customFormat="1" x14ac:dyDescent="0.2">
      <c r="A13" s="1" t="s">
        <v>20</v>
      </c>
      <c r="B13" s="1" t="s">
        <v>1</v>
      </c>
      <c r="C13" s="1" t="s">
        <v>124</v>
      </c>
      <c r="D13" s="1" t="s">
        <v>21</v>
      </c>
      <c r="E13" s="1" t="s">
        <v>129</v>
      </c>
      <c r="F13" s="1" t="s">
        <v>22</v>
      </c>
      <c r="G13" s="1" t="s">
        <v>134</v>
      </c>
      <c r="H13" s="1" t="s">
        <v>26</v>
      </c>
      <c r="I13" s="1" t="s">
        <v>135</v>
      </c>
      <c r="J13" s="1" t="s">
        <v>28</v>
      </c>
    </row>
    <row r="14" spans="1:10" x14ac:dyDescent="0.2">
      <c r="A14" s="4">
        <v>2008</v>
      </c>
      <c r="B14" s="4" t="s">
        <v>2</v>
      </c>
      <c r="C14" s="4">
        <f>687.06198/1308.291*100</f>
        <v>52.51599070848917</v>
      </c>
      <c r="D14" s="4">
        <f>606.788293/1308.291*100</f>
        <v>46.380223742271404</v>
      </c>
      <c r="E14" s="4">
        <f>645.02806/1282.709*100</f>
        <v>50.286390755814445</v>
      </c>
      <c r="F14" s="4">
        <f>603.80078/1282.709*100</f>
        <v>47.072311802599032</v>
      </c>
      <c r="G14" s="4">
        <f xml:space="preserve"> 260.74049/ 685.75015*100</f>
        <v>38.02266612701434</v>
      </c>
      <c r="H14" s="4">
        <f>397.221879/ 685.75015*100</f>
        <v>57.925161080898057</v>
      </c>
      <c r="I14" s="4">
        <f>296.34436/1024.25*100</f>
        <v>28.932815230656576</v>
      </c>
      <c r="J14" s="4">
        <f>714.18116/1024.25*100</f>
        <v>69.727230656577973</v>
      </c>
    </row>
    <row r="16" spans="1:10" s="1" customFormat="1" x14ac:dyDescent="0.2">
      <c r="A16" s="1" t="s">
        <v>0</v>
      </c>
      <c r="B16" s="1" t="s">
        <v>1</v>
      </c>
      <c r="C16" s="1" t="s">
        <v>125</v>
      </c>
      <c r="D16" s="1" t="s">
        <v>30</v>
      </c>
      <c r="E16" s="1" t="s">
        <v>130</v>
      </c>
      <c r="F16" s="1" t="s">
        <v>32</v>
      </c>
    </row>
    <row r="17" spans="1:6" x14ac:dyDescent="0.2">
      <c r="A17" s="4">
        <v>2008</v>
      </c>
      <c r="B17" s="4" t="s">
        <v>2</v>
      </c>
      <c r="C17" s="4">
        <f>556.84765/1623.614*100</f>
        <v>34.296800224683949</v>
      </c>
      <c r="D17" s="4">
        <f>1002.366/1623.614*100</f>
        <v>61.736718210116436</v>
      </c>
      <c r="E17" s="4">
        <f>585.08677/2013.386*100</f>
        <v>29.059840984292133</v>
      </c>
      <c r="F17" s="4">
        <f>1388.394/2013.386*100</f>
        <v>68.958163014940993</v>
      </c>
    </row>
    <row r="19" spans="1:6" s="1" customFormat="1" x14ac:dyDescent="0.2">
      <c r="A19" s="1" t="s">
        <v>20</v>
      </c>
      <c r="B19" s="1" t="s">
        <v>1</v>
      </c>
      <c r="C19" s="1" t="s">
        <v>126</v>
      </c>
      <c r="D19" s="1" t="s">
        <v>34</v>
      </c>
      <c r="E19" s="1" t="s">
        <v>131</v>
      </c>
      <c r="F19" s="1" t="s">
        <v>36</v>
      </c>
    </row>
    <row r="20" spans="1:6" x14ac:dyDescent="0.2">
      <c r="A20" s="4">
        <v>2008</v>
      </c>
      <c r="B20" s="4" t="s">
        <v>2</v>
      </c>
      <c r="C20" s="4">
        <f>1118.573/2294.066*100</f>
        <v>48.759407968210169</v>
      </c>
      <c r="D20" s="4">
        <f>1129.875/2294.066*100</f>
        <v>49.252070341481023</v>
      </c>
      <c r="E20" s="4">
        <f>1199.171/2759.934*100</f>
        <v>43.449263641811726</v>
      </c>
      <c r="F20" s="4">
        <f>1514.556/2759.934*100</f>
        <v>54.876529656143944</v>
      </c>
    </row>
    <row r="22" spans="1:6" s="1" customFormat="1" x14ac:dyDescent="0.2">
      <c r="A22" s="1" t="s">
        <v>0</v>
      </c>
      <c r="B22" s="1" t="s">
        <v>1</v>
      </c>
      <c r="C22" s="1" t="s">
        <v>127</v>
      </c>
      <c r="D22" s="1" t="s">
        <v>38</v>
      </c>
      <c r="E22" s="1" t="s">
        <v>132</v>
      </c>
      <c r="F22" s="1" t="s">
        <v>40</v>
      </c>
    </row>
    <row r="23" spans="1:6" x14ac:dyDescent="0.2">
      <c r="A23" s="4">
        <v>2008</v>
      </c>
      <c r="B23" s="4" t="s">
        <v>2</v>
      </c>
      <c r="C23" s="4">
        <f>1708.004/3299.272*100</f>
        <v>51.769117550780898</v>
      </c>
      <c r="D23" s="4">
        <f>1510.353/3299.272*100</f>
        <v>45.778371713517409</v>
      </c>
      <c r="E23" s="4">
        <f>1611.822/3526.728*100</f>
        <v>45.703042593588158</v>
      </c>
      <c r="F23" s="4">
        <f>1862.551/3526.728*100</f>
        <v>52.81243691035997</v>
      </c>
    </row>
    <row r="25" spans="1:6" s="1" customFormat="1" x14ac:dyDescent="0.2">
      <c r="A25" s="1" t="s">
        <v>0</v>
      </c>
      <c r="B25" s="1" t="s">
        <v>1</v>
      </c>
      <c r="C25" s="1" t="s">
        <v>128</v>
      </c>
      <c r="D25" s="1" t="s">
        <v>42</v>
      </c>
      <c r="E25" s="1" t="s">
        <v>133</v>
      </c>
      <c r="F25" s="1" t="s">
        <v>44</v>
      </c>
    </row>
    <row r="26" spans="1:6" x14ac:dyDescent="0.2">
      <c r="A26" s="4">
        <v>2008</v>
      </c>
      <c r="B26" s="4" t="s">
        <v>2</v>
      </c>
      <c r="C26" s="4">
        <f>569.92162/1063.3622*100</f>
        <v>53.596189520372263</v>
      </c>
      <c r="D26" s="4">
        <f>475.45705/1063.3622*100</f>
        <v>44.712615325239128</v>
      </c>
      <c r="E26" s="4">
        <f>566.84474/1106.6378*100</f>
        <v>51.222246339317167</v>
      </c>
      <c r="F26" s="4">
        <f>508.26561/1106.6378*100</f>
        <v>45.928813384108153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11F8A-4FA0-E845-B0D3-781DC0F038A4}">
  <dimension ref="A1:J14"/>
  <sheetViews>
    <sheetView zoomScale="112" zoomScaleNormal="112" workbookViewId="0">
      <selection activeCell="F11" sqref="F11"/>
    </sheetView>
  </sheetViews>
  <sheetFormatPr baseColWidth="10" defaultRowHeight="16" x14ac:dyDescent="0.2"/>
  <cols>
    <col min="3" max="3" width="22.5" customWidth="1"/>
    <col min="4" max="4" width="22.33203125" customWidth="1"/>
    <col min="5" max="5" width="24.1640625" customWidth="1"/>
    <col min="6" max="6" width="21.83203125" customWidth="1"/>
    <col min="7" max="7" width="24.6640625" customWidth="1"/>
    <col min="8" max="8" width="26.33203125" customWidth="1"/>
    <col min="9" max="9" width="26.1640625" customWidth="1"/>
    <col min="10" max="10" width="26.33203125" customWidth="1"/>
  </cols>
  <sheetData>
    <row r="1" spans="1:10" s="6" customFormat="1" x14ac:dyDescent="0.2">
      <c r="A1" s="5" t="s">
        <v>0</v>
      </c>
      <c r="B1" s="6" t="s">
        <v>1</v>
      </c>
      <c r="C1" s="6" t="s">
        <v>136</v>
      </c>
      <c r="D1" s="6" t="s">
        <v>138</v>
      </c>
      <c r="E1" s="6" t="s">
        <v>139</v>
      </c>
      <c r="F1" s="6" t="s">
        <v>137</v>
      </c>
    </row>
    <row r="2" spans="1:10" x14ac:dyDescent="0.2">
      <c r="A2">
        <v>2004</v>
      </c>
      <c r="B2" t="s">
        <v>2</v>
      </c>
      <c r="C2">
        <f>3425.155/6271.558*100</f>
        <v>54.614100674824343</v>
      </c>
      <c r="D2">
        <f>2750.169/6271.558*100</f>
        <v>43.85144807717635</v>
      </c>
      <c r="E2">
        <f>3516.296/7359.442*100</f>
        <v>47.77938327389495</v>
      </c>
      <c r="F2">
        <f>3774.118/7359.442*100</f>
        <v>51.282665180322098</v>
      </c>
    </row>
    <row r="4" spans="1:10" s="1" customFormat="1" x14ac:dyDescent="0.2">
      <c r="A4" s="1" t="s">
        <v>0</v>
      </c>
      <c r="B4" s="1" t="s">
        <v>1</v>
      </c>
      <c r="C4" s="1" t="s">
        <v>140</v>
      </c>
      <c r="D4" s="1" t="s">
        <v>142</v>
      </c>
      <c r="E4" s="1" t="s">
        <v>141</v>
      </c>
      <c r="F4" s="1" t="s">
        <v>143</v>
      </c>
    </row>
    <row r="5" spans="1:10" x14ac:dyDescent="0.2">
      <c r="A5">
        <v>2004</v>
      </c>
      <c r="B5" t="s">
        <v>2</v>
      </c>
      <c r="C5">
        <f>3028.817/4914.148*100</f>
        <v>61.634631272806594</v>
      </c>
      <c r="D5">
        <f>1832.462/4914.148*100</f>
        <v>37.289515903875909</v>
      </c>
      <c r="E5">
        <f>3111.128/5649.852*100</f>
        <v>55.065654817152733</v>
      </c>
      <c r="F5">
        <f>2489.818/5649.852*100</f>
        <v>44.068729587960895</v>
      </c>
    </row>
    <row r="7" spans="1:10" s="1" customFormat="1" x14ac:dyDescent="0.2">
      <c r="A7" s="1" t="s">
        <v>0</v>
      </c>
      <c r="B7" s="1" t="s">
        <v>1</v>
      </c>
      <c r="C7" s="1" t="s">
        <v>144</v>
      </c>
      <c r="D7" s="1" t="s">
        <v>145</v>
      </c>
      <c r="E7" s="1" t="s">
        <v>146</v>
      </c>
      <c r="F7" s="1" t="s">
        <v>147</v>
      </c>
    </row>
    <row r="8" spans="1:10" x14ac:dyDescent="0.2">
      <c r="A8">
        <v>2004</v>
      </c>
      <c r="B8" t="s">
        <v>2</v>
      </c>
      <c r="C8">
        <f>77.111584/600.43115*100</f>
        <v>12.842702114971882</v>
      </c>
      <c r="D8">
        <f>515.36531/600.43115*100</f>
        <v>85.832540500272188</v>
      </c>
      <c r="E8">
        <f>83.855982/858.56885*100</f>
        <v>9.7669490338485954</v>
      </c>
      <c r="F8">
        <f>771.42758/ 858.56885*100</f>
        <v>89.850403960031869</v>
      </c>
    </row>
    <row r="10" spans="1:10" s="1" customFormat="1" x14ac:dyDescent="0.2">
      <c r="A10" s="1" t="s">
        <v>0</v>
      </c>
      <c r="B10" s="1" t="s">
        <v>1</v>
      </c>
      <c r="C10" s="1" t="s">
        <v>148</v>
      </c>
      <c r="D10" s="1" t="s">
        <v>151</v>
      </c>
      <c r="E10" s="1" t="s">
        <v>149</v>
      </c>
      <c r="F10" s="1" t="s">
        <v>150</v>
      </c>
    </row>
    <row r="11" spans="1:10" x14ac:dyDescent="0.2">
      <c r="A11">
        <v>2004</v>
      </c>
      <c r="B11" t="s">
        <v>2</v>
      </c>
      <c r="C11">
        <f>231.48547/494.57467*100</f>
        <v>46.804958693092793</v>
      </c>
      <c r="D11">
        <f>245.89415/494.57467*100</f>
        <v>49.718306438944801</v>
      </c>
      <c r="E11">
        <f>214.2672/ 528.42533*100</f>
        <v>40.548245482479047</v>
      </c>
      <c r="F11">
        <f>303.61245/528.42533*100</f>
        <v>57.456074257454695</v>
      </c>
    </row>
    <row r="13" spans="1:10" s="1" customFormat="1" x14ac:dyDescent="0.2">
      <c r="A13" s="1" t="s">
        <v>20</v>
      </c>
      <c r="B13" s="1" t="s">
        <v>1</v>
      </c>
      <c r="C13" s="1" t="s">
        <v>152</v>
      </c>
      <c r="D13" s="1" t="s">
        <v>153</v>
      </c>
      <c r="E13" s="1" t="s">
        <v>154</v>
      </c>
      <c r="F13" s="1" t="s">
        <v>155</v>
      </c>
      <c r="G13" s="1" t="s">
        <v>156</v>
      </c>
      <c r="H13" s="1" t="s">
        <v>157</v>
      </c>
      <c r="I13" s="1" t="s">
        <v>158</v>
      </c>
      <c r="J13" s="1" t="s">
        <v>159</v>
      </c>
    </row>
    <row r="14" spans="1:10" x14ac:dyDescent="0.2">
      <c r="A14">
        <v>2004</v>
      </c>
      <c r="B14" t="s">
        <v>2</v>
      </c>
      <c r="C14">
        <f>2327.359/3902.139*100</f>
        <v>59.643159815680576</v>
      </c>
      <c r="D14">
        <f>1525.431/3902.139*100</f>
        <v>39.092174830266167</v>
      </c>
      <c r="E14">
        <f>2297.086/4163.861*100</f>
        <v>55.167211393463901</v>
      </c>
      <c r="F14">
        <f>1828.793/4163.861*100</f>
        <v>43.920606379511703</v>
      </c>
      <c r="G14">
        <f>954.6599/2118.953*100</f>
        <v>45.053377776666117</v>
      </c>
      <c r="H14">
        <f>1118.604/2118.953*100</f>
        <v>52.790411113413093</v>
      </c>
      <c r="I14">
        <f>1120.109/3008.047*100</f>
        <v>37.237084393960593</v>
      </c>
      <c r="J14">
        <f>1861.651/3008.047*100</f>
        <v>61.889026335027339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7B76F-D3F2-E44C-8C26-F69E70BDA238}">
  <dimension ref="A1:F11"/>
  <sheetViews>
    <sheetView tabSelected="1" zoomScale="112" zoomScaleNormal="112" workbookViewId="0">
      <selection activeCell="C2" sqref="C2"/>
    </sheetView>
  </sheetViews>
  <sheetFormatPr baseColWidth="10" defaultRowHeight="16" x14ac:dyDescent="0.2"/>
  <cols>
    <col min="2" max="2" width="16" customWidth="1"/>
    <col min="3" max="3" width="21.33203125" customWidth="1"/>
    <col min="4" max="4" width="20" customWidth="1"/>
    <col min="5" max="5" width="21.1640625" customWidth="1"/>
    <col min="6" max="6" width="21.33203125" customWidth="1"/>
    <col min="7" max="7" width="22.5" customWidth="1"/>
    <col min="8" max="8" width="22.83203125" customWidth="1"/>
    <col min="9" max="9" width="22" customWidth="1"/>
    <col min="10" max="10" width="20.5" customWidth="1"/>
  </cols>
  <sheetData>
    <row r="1" spans="1:6" s="6" customFormat="1" x14ac:dyDescent="0.2">
      <c r="A1" s="5" t="s">
        <v>0</v>
      </c>
      <c r="B1" s="6" t="s">
        <v>1</v>
      </c>
      <c r="C1" s="6" t="s">
        <v>136</v>
      </c>
      <c r="D1" s="6" t="s">
        <v>204</v>
      </c>
      <c r="E1" s="6" t="s">
        <v>139</v>
      </c>
      <c r="F1" s="6" t="s">
        <v>205</v>
      </c>
    </row>
    <row r="2" spans="1:6" x14ac:dyDescent="0.2">
      <c r="A2">
        <v>2000</v>
      </c>
      <c r="B2" t="s">
        <v>210</v>
      </c>
      <c r="C2" s="4">
        <f>3301.84/6173.796</f>
        <v>0.53481520931368642</v>
      </c>
      <c r="D2" s="4">
        <f>2616.09/6173.796</f>
        <v>0.42374092049688716</v>
      </c>
      <c r="E2" s="4">
        <f>2932.71/6776.204</f>
        <v>0.43279541170838426</v>
      </c>
      <c r="F2">
        <f>3638.687/6776.2014</f>
        <v>0.53698035008227474</v>
      </c>
    </row>
    <row r="4" spans="1:6" s="1" customFormat="1" x14ac:dyDescent="0.2">
      <c r="A4" s="1" t="s">
        <v>0</v>
      </c>
      <c r="B4" s="1" t="s">
        <v>1</v>
      </c>
      <c r="C4" s="1" t="s">
        <v>140</v>
      </c>
      <c r="D4" s="1" t="s">
        <v>206</v>
      </c>
      <c r="E4" s="1" t="s">
        <v>141</v>
      </c>
      <c r="F4" s="1" t="s">
        <v>207</v>
      </c>
    </row>
    <row r="5" spans="1:6" x14ac:dyDescent="0.2">
      <c r="A5">
        <v>2000</v>
      </c>
      <c r="B5" t="s">
        <v>210</v>
      </c>
      <c r="C5">
        <f>2885.849/4821.257</f>
        <v>0.59856775940382356</v>
      </c>
      <c r="D5">
        <f>1725.666/4821.257</f>
        <v>0.35792864806833574</v>
      </c>
      <c r="E5">
        <f>2595.611/5306.743</f>
        <v>0.48911564023356691</v>
      </c>
      <c r="F5">
        <f>2541.989/5306.743</f>
        <v>0.47901113733979578</v>
      </c>
    </row>
    <row r="7" spans="1:6" s="1" customFormat="1" x14ac:dyDescent="0.2">
      <c r="A7" s="1" t="s">
        <v>0</v>
      </c>
      <c r="B7" s="1" t="s">
        <v>1</v>
      </c>
      <c r="C7" s="1" t="s">
        <v>144</v>
      </c>
      <c r="D7" s="1" t="s">
        <v>208</v>
      </c>
      <c r="E7" s="1" t="s">
        <v>146</v>
      </c>
      <c r="F7" s="1" t="s">
        <v>209</v>
      </c>
    </row>
    <row r="8" spans="1:6" x14ac:dyDescent="0.2">
      <c r="A8">
        <v>2000</v>
      </c>
      <c r="B8" t="s">
        <v>210</v>
      </c>
      <c r="C8">
        <f>79.079/640.275</f>
        <v>0.12350786771309202</v>
      </c>
      <c r="D8">
        <f>543.94478/640.275</f>
        <v>0.84954867830229208</v>
      </c>
      <c r="E8">
        <f>45.767/796.725</f>
        <v>5.7443911010700052E-2</v>
      </c>
      <c r="F8">
        <f>745.473/796.72</f>
        <v>0.9356775278642433</v>
      </c>
    </row>
    <row r="10" spans="1:6" s="1" customFormat="1" x14ac:dyDescent="0.2">
      <c r="A10" s="1" t="s">
        <v>0</v>
      </c>
      <c r="B10" s="1" t="s">
        <v>1</v>
      </c>
      <c r="C10" s="1" t="s">
        <v>148</v>
      </c>
      <c r="D10" s="1" t="s">
        <v>230</v>
      </c>
      <c r="E10" s="1" t="s">
        <v>149</v>
      </c>
      <c r="F10" s="1" t="s">
        <v>231</v>
      </c>
    </row>
    <row r="11" spans="1:6" x14ac:dyDescent="0.2">
      <c r="A11">
        <v>2000</v>
      </c>
      <c r="B11" t="s">
        <v>210</v>
      </c>
      <c r="C11">
        <f>159.38/434.78</f>
        <v>0.36657619945719677</v>
      </c>
      <c r="D11">
        <f>260.38/434.78</f>
        <v>0.59887759326555967</v>
      </c>
      <c r="E11">
        <f>139.155/410.22</f>
        <v>0.33922041831212518</v>
      </c>
      <c r="F11">
        <f>257.86/410.22</f>
        <v>0.6285895373214373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D74FA-F899-1648-A8D8-6215C7F7C269}">
  <dimension ref="A1:F11"/>
  <sheetViews>
    <sheetView zoomScale="112" zoomScaleNormal="112" workbookViewId="0">
      <selection activeCell="C5" sqref="C5"/>
    </sheetView>
  </sheetViews>
  <sheetFormatPr baseColWidth="10" defaultRowHeight="16" x14ac:dyDescent="0.2"/>
  <cols>
    <col min="1" max="1" width="12" customWidth="1"/>
    <col min="2" max="2" width="18.1640625" customWidth="1"/>
    <col min="3" max="3" width="16" customWidth="1"/>
    <col min="4" max="4" width="17.33203125" customWidth="1"/>
    <col min="5" max="5" width="17.1640625" customWidth="1"/>
    <col min="6" max="6" width="18.5" customWidth="1"/>
  </cols>
  <sheetData>
    <row r="1" spans="1:6" s="6" customFormat="1" x14ac:dyDescent="0.2">
      <c r="A1" s="5" t="s">
        <v>0</v>
      </c>
      <c r="B1" s="6" t="s">
        <v>1</v>
      </c>
      <c r="C1" s="6" t="s">
        <v>211</v>
      </c>
      <c r="D1" s="6" t="s">
        <v>161</v>
      </c>
      <c r="E1" s="6" t="s">
        <v>212</v>
      </c>
      <c r="F1" s="6" t="s">
        <v>163</v>
      </c>
    </row>
    <row r="2" spans="1:6" x14ac:dyDescent="0.2">
      <c r="A2">
        <v>1996</v>
      </c>
      <c r="B2" t="s">
        <v>210</v>
      </c>
      <c r="C2" s="4">
        <f>3416.14/7733.434</f>
        <v>0.44173649118877845</v>
      </c>
      <c r="D2" s="4">
        <f>3360.343/7733.434</f>
        <v>0.43452145579829088</v>
      </c>
      <c r="E2" s="4">
        <f>3169.301/8431.566</f>
        <v>0.37588521515457501</v>
      </c>
      <c r="F2" s="4">
        <f>4560.001/8431.566</f>
        <v>0.54082491911941388</v>
      </c>
    </row>
    <row r="4" spans="1:6" s="1" customFormat="1" x14ac:dyDescent="0.2">
      <c r="A4" s="1" t="s">
        <v>0</v>
      </c>
      <c r="B4" s="1" t="s">
        <v>1</v>
      </c>
      <c r="C4" s="1" t="s">
        <v>213</v>
      </c>
      <c r="D4" s="1" t="s">
        <v>182</v>
      </c>
      <c r="E4" s="1" t="s">
        <v>214</v>
      </c>
      <c r="F4" s="1" t="s">
        <v>183</v>
      </c>
    </row>
    <row r="5" spans="1:6" x14ac:dyDescent="0.2">
      <c r="A5">
        <v>1996</v>
      </c>
      <c r="B5" t="s">
        <v>210</v>
      </c>
      <c r="C5" s="4">
        <f>3132.89/6217.476</f>
        <v>0.50388453449599158</v>
      </c>
      <c r="D5">
        <f>2368.413/6217.476</f>
        <v>0.38092837029045229</v>
      </c>
      <c r="E5">
        <f>2857.882/6703.524</f>
        <v>0.42632531784774691</v>
      </c>
      <c r="F5">
        <f>3229.318/6703.524</f>
        <v>0.48173438328855095</v>
      </c>
    </row>
    <row r="7" spans="1:6" s="1" customFormat="1" x14ac:dyDescent="0.2">
      <c r="A7" s="1" t="s">
        <v>0</v>
      </c>
      <c r="B7" s="1" t="s">
        <v>1</v>
      </c>
      <c r="C7" s="1" t="s">
        <v>215</v>
      </c>
      <c r="D7" s="1" t="s">
        <v>184</v>
      </c>
      <c r="E7" s="1" t="s">
        <v>216</v>
      </c>
      <c r="F7" s="1" t="s">
        <v>185</v>
      </c>
    </row>
    <row r="8" spans="1:6" x14ac:dyDescent="0.2">
      <c r="A8">
        <v>1996</v>
      </c>
      <c r="B8" t="s">
        <v>210</v>
      </c>
      <c r="C8">
        <f>140.42/908.81</f>
        <v>0.15450974351074481</v>
      </c>
      <c r="D8">
        <f>713.05/908.81</f>
        <v>0.78459744060914827</v>
      </c>
      <c r="E8">
        <f>90.74/1075.19</f>
        <v>8.4394386108501751E-2</v>
      </c>
      <c r="F8">
        <f>952.54/1075.19</f>
        <v>0.88592713845924898</v>
      </c>
    </row>
    <row r="10" spans="1:6" s="1" customFormat="1" x14ac:dyDescent="0.2">
      <c r="A10" s="1" t="s">
        <v>0</v>
      </c>
      <c r="B10" s="1" t="s">
        <v>1</v>
      </c>
      <c r="C10" s="1" t="s">
        <v>226</v>
      </c>
      <c r="D10" s="1" t="s">
        <v>227</v>
      </c>
      <c r="E10" s="1" t="s">
        <v>228</v>
      </c>
      <c r="F10" s="1" t="s">
        <v>229</v>
      </c>
    </row>
    <row r="11" spans="1:6" x14ac:dyDescent="0.2">
      <c r="A11">
        <v>1996</v>
      </c>
      <c r="B11" t="s">
        <v>210</v>
      </c>
      <c r="C11">
        <f>79.55/313.86</f>
        <v>0.25345695533040208</v>
      </c>
      <c r="D11">
        <f>202.58/313.86</f>
        <v>0.64544701459249343</v>
      </c>
      <c r="E11">
        <f>66.16/380.14</f>
        <v>0.1740411427368864</v>
      </c>
      <c r="F11">
        <f>296.29/380.14</f>
        <v>0.77942337033724429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8C650-C48F-8F45-BB2D-3C86D11EBC91}">
  <dimension ref="A1:F8"/>
  <sheetViews>
    <sheetView zoomScale="112" zoomScaleNormal="112" workbookViewId="0">
      <selection activeCell="F24" sqref="F24"/>
    </sheetView>
  </sheetViews>
  <sheetFormatPr baseColWidth="10" defaultRowHeight="16" x14ac:dyDescent="0.2"/>
  <cols>
    <col min="1" max="1" width="15" customWidth="1"/>
    <col min="2" max="2" width="18" customWidth="1"/>
    <col min="3" max="3" width="20.33203125" customWidth="1"/>
    <col min="4" max="4" width="17.33203125" customWidth="1"/>
    <col min="5" max="5" width="20" customWidth="1"/>
    <col min="6" max="6" width="20.5" customWidth="1"/>
  </cols>
  <sheetData>
    <row r="1" spans="1:6" s="6" customFormat="1" x14ac:dyDescent="0.2">
      <c r="A1" s="5" t="s">
        <v>0</v>
      </c>
      <c r="B1" s="6" t="s">
        <v>1</v>
      </c>
      <c r="C1" s="6" t="s">
        <v>136</v>
      </c>
      <c r="D1" s="6" t="s">
        <v>161</v>
      </c>
      <c r="E1" s="6" t="s">
        <v>139</v>
      </c>
      <c r="F1" s="6" t="s">
        <v>163</v>
      </c>
    </row>
    <row r="2" spans="1:6" x14ac:dyDescent="0.2">
      <c r="A2">
        <v>1992</v>
      </c>
      <c r="B2" t="s">
        <v>210</v>
      </c>
      <c r="C2">
        <f>2622.828/6918.34</f>
        <v>0.37911233041452141</v>
      </c>
      <c r="D2">
        <f>2831.274/6918.34</f>
        <v>0.40924181234226703</v>
      </c>
      <c r="E2">
        <f>2900.497/7742.66</f>
        <v>0.37461247168285833</v>
      </c>
      <c r="F2">
        <f>3505.171/7742.66</f>
        <v>0.45270888815988303</v>
      </c>
    </row>
    <row r="4" spans="1:6" s="1" customFormat="1" x14ac:dyDescent="0.2">
      <c r="A4" s="1" t="s">
        <v>0</v>
      </c>
      <c r="B4" s="1" t="s">
        <v>1</v>
      </c>
      <c r="C4" s="1" t="s">
        <v>140</v>
      </c>
      <c r="D4" s="1" t="s">
        <v>182</v>
      </c>
      <c r="E4" s="1" t="s">
        <v>141</v>
      </c>
      <c r="F4" s="1" t="s">
        <v>183</v>
      </c>
    </row>
    <row r="5" spans="1:6" x14ac:dyDescent="0.2">
      <c r="A5">
        <v>1992</v>
      </c>
      <c r="B5" t="s">
        <v>210</v>
      </c>
      <c r="C5">
        <f>2374.91/5898.85</f>
        <v>0.40260559261550977</v>
      </c>
      <c r="D5">
        <f>2198.375/5898.85</f>
        <v>0.37267857294218365</v>
      </c>
      <c r="E5">
        <f>2650.449/6490.15</f>
        <v>0.40838023774489035</v>
      </c>
      <c r="F5">
        <f>2628.656/6490.15</f>
        <v>0.4050223800682573</v>
      </c>
    </row>
    <row r="7" spans="1:6" s="1" customFormat="1" x14ac:dyDescent="0.2">
      <c r="A7" s="1" t="s">
        <v>0</v>
      </c>
      <c r="B7" s="1" t="s">
        <v>1</v>
      </c>
      <c r="C7" s="1" t="s">
        <v>144</v>
      </c>
      <c r="D7" s="1" t="s">
        <v>184</v>
      </c>
      <c r="E7" s="1" t="s">
        <v>146</v>
      </c>
      <c r="F7" s="1" t="s">
        <v>185</v>
      </c>
    </row>
    <row r="8" spans="1:6" x14ac:dyDescent="0.2">
      <c r="A8">
        <v>1992</v>
      </c>
      <c r="B8" t="s">
        <v>210</v>
      </c>
      <c r="C8">
        <f>80.080621/594.04236</f>
        <v>0.1348062468137794</v>
      </c>
      <c r="D8">
        <f>462.6388/594.04236</f>
        <v>0.77879766015339369</v>
      </c>
      <c r="E8">
        <f>65.27/845.96</f>
        <v>7.7154948224502334E-2</v>
      </c>
      <c r="F8">
        <f>735.29/845.96</f>
        <v>0.86917821173577936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590E0-5209-1245-966A-2B1E81EB352B}">
  <dimension ref="A1:F2"/>
  <sheetViews>
    <sheetView zoomScale="112" zoomScaleNormal="112" workbookViewId="0">
      <selection activeCell="B3" sqref="B3"/>
    </sheetView>
  </sheetViews>
  <sheetFormatPr baseColWidth="10" defaultRowHeight="16" x14ac:dyDescent="0.2"/>
  <cols>
    <col min="2" max="2" width="17" customWidth="1"/>
    <col min="3" max="3" width="19" customWidth="1"/>
    <col min="4" max="4" width="20.5" customWidth="1"/>
    <col min="5" max="5" width="20.6640625" customWidth="1"/>
    <col min="6" max="6" width="24.5" customWidth="1"/>
  </cols>
  <sheetData>
    <row r="1" spans="1:6" s="6" customFormat="1" x14ac:dyDescent="0.2">
      <c r="A1" s="5" t="s">
        <v>0</v>
      </c>
      <c r="B1" s="6" t="s">
        <v>1</v>
      </c>
      <c r="C1" s="6" t="s">
        <v>136</v>
      </c>
      <c r="D1" s="6" t="s">
        <v>218</v>
      </c>
      <c r="E1" s="6" t="s">
        <v>139</v>
      </c>
      <c r="F1" s="6" t="s">
        <v>219</v>
      </c>
    </row>
    <row r="2" spans="1:6" x14ac:dyDescent="0.2">
      <c r="A2">
        <v>1988</v>
      </c>
      <c r="B2" t="s">
        <v>217</v>
      </c>
      <c r="C2">
        <f>3115.774/5487.337</f>
        <v>0.56781167258362297</v>
      </c>
      <c r="D2">
        <f>2259.588/5487.337</f>
        <v>0.41178225430659715</v>
      </c>
      <c r="E2">
        <f>2990.007/6030.319</f>
        <v>0.49582899345789166</v>
      </c>
      <c r="F2">
        <f>2973.882/6030.319</f>
        <v>0.49315500556438224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2020</vt:lpstr>
      <vt:lpstr>2016</vt:lpstr>
      <vt:lpstr>2012</vt:lpstr>
      <vt:lpstr>2008</vt:lpstr>
      <vt:lpstr>2004</vt:lpstr>
      <vt:lpstr>2000</vt:lpstr>
      <vt:lpstr>1996</vt:lpstr>
      <vt:lpstr>1992</vt:lpstr>
      <vt:lpstr>1988</vt:lpstr>
      <vt:lpstr>1984</vt:lpstr>
      <vt:lpstr>1980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2021-02-09T18:17:45Z</dcterms:created>
  <dcterms:modified xsi:type="dcterms:W3CDTF">2021-02-19T15:57:21Z</dcterms:modified>
</cp:coreProperties>
</file>